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Celoplosne opravy MK/ZD vcetne priloh/P01 Soupisy stavebnich praci/"/>
    </mc:Choice>
  </mc:AlternateContent>
  <xr:revisionPtr revIDLastSave="0" documentId="13_ncr:1_{821551A5-A596-1E48-85FE-1917BA8BCA55}" xr6:coauthVersionLast="47" xr6:coauthVersionMax="47" xr10:uidLastSave="{00000000-0000-0000-0000-000000000000}"/>
  <bookViews>
    <workbookView xWindow="12140" yWindow="3740" windowWidth="27100" windowHeight="1078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66" i="4" l="1"/>
  <c r="BF66" i="4"/>
  <c r="BD66" i="4"/>
  <c r="AP66" i="4"/>
  <c r="BI66" i="4" s="1"/>
  <c r="AO66" i="4"/>
  <c r="BH66" i="4" s="1"/>
  <c r="AL66" i="4"/>
  <c r="AK66" i="4"/>
  <c r="AJ66" i="4"/>
  <c r="AH66" i="4"/>
  <c r="AG66" i="4"/>
  <c r="AF66" i="4"/>
  <c r="AE66" i="4"/>
  <c r="AD66" i="4"/>
  <c r="AC66" i="4"/>
  <c r="AB66" i="4"/>
  <c r="Z66" i="4"/>
  <c r="I66" i="4"/>
  <c r="BJ65" i="4"/>
  <c r="Z65" i="4" s="1"/>
  <c r="BF65" i="4"/>
  <c r="BD65" i="4"/>
  <c r="AP65" i="4"/>
  <c r="BI65" i="4" s="1"/>
  <c r="AO65" i="4"/>
  <c r="BH65" i="4" s="1"/>
  <c r="AK65" i="4"/>
  <c r="AJ65" i="4"/>
  <c r="AH65" i="4"/>
  <c r="AG65" i="4"/>
  <c r="AF65" i="4"/>
  <c r="AE65" i="4"/>
  <c r="AD65" i="4"/>
  <c r="AC65" i="4"/>
  <c r="AB65" i="4"/>
  <c r="I65" i="4"/>
  <c r="AL65" i="4" s="1"/>
  <c r="BJ62" i="4"/>
  <c r="Z62" i="4" s="1"/>
  <c r="BF62" i="4"/>
  <c r="BD62" i="4"/>
  <c r="AP62" i="4"/>
  <c r="BI62" i="4" s="1"/>
  <c r="AO62" i="4"/>
  <c r="BH62" i="4" s="1"/>
  <c r="AK62" i="4"/>
  <c r="AJ62" i="4"/>
  <c r="AH62" i="4"/>
  <c r="AG62" i="4"/>
  <c r="AF62" i="4"/>
  <c r="AE62" i="4"/>
  <c r="AD62" i="4"/>
  <c r="AC62" i="4"/>
  <c r="AB62" i="4"/>
  <c r="I62" i="4"/>
  <c r="AL62" i="4" s="1"/>
  <c r="BJ60" i="4"/>
  <c r="Z60" i="4" s="1"/>
  <c r="BF60" i="4"/>
  <c r="BD60" i="4"/>
  <c r="AP60" i="4"/>
  <c r="BI60" i="4" s="1"/>
  <c r="AO60" i="4"/>
  <c r="BH60" i="4" s="1"/>
  <c r="AK60" i="4"/>
  <c r="AJ60" i="4"/>
  <c r="AH60" i="4"/>
  <c r="AG60" i="4"/>
  <c r="AF60" i="4"/>
  <c r="AE60" i="4"/>
  <c r="AD60" i="4"/>
  <c r="AC60" i="4"/>
  <c r="AB60" i="4"/>
  <c r="I60" i="4"/>
  <c r="AL60" i="4" s="1"/>
  <c r="BJ57" i="4"/>
  <c r="Z57" i="4" s="1"/>
  <c r="BF57" i="4"/>
  <c r="BD57" i="4"/>
  <c r="AP57" i="4"/>
  <c r="BI57" i="4" s="1"/>
  <c r="AO57" i="4"/>
  <c r="BH57" i="4" s="1"/>
  <c r="AK57" i="4"/>
  <c r="AJ57" i="4"/>
  <c r="AH57" i="4"/>
  <c r="AG57" i="4"/>
  <c r="AF57" i="4"/>
  <c r="AE57" i="4"/>
  <c r="AD57" i="4"/>
  <c r="AC57" i="4"/>
  <c r="AB57" i="4"/>
  <c r="I57" i="4"/>
  <c r="AL57" i="4" s="1"/>
  <c r="BJ52" i="4"/>
  <c r="Z52" i="4" s="1"/>
  <c r="BF52" i="4"/>
  <c r="BD52" i="4"/>
  <c r="AP52" i="4"/>
  <c r="BI52" i="4" s="1"/>
  <c r="AO52" i="4"/>
  <c r="BH52" i="4" s="1"/>
  <c r="AK52" i="4"/>
  <c r="AJ52" i="4"/>
  <c r="AH52" i="4"/>
  <c r="AG52" i="4"/>
  <c r="AF52" i="4"/>
  <c r="AE52" i="4"/>
  <c r="AD52" i="4"/>
  <c r="AC52" i="4"/>
  <c r="AB52" i="4"/>
  <c r="I52" i="4"/>
  <c r="AL52" i="4" s="1"/>
  <c r="BJ50" i="4"/>
  <c r="BF50" i="4"/>
  <c r="BD50" i="4"/>
  <c r="AP50" i="4"/>
  <c r="BI50" i="4" s="1"/>
  <c r="AO50" i="4"/>
  <c r="BH50" i="4" s="1"/>
  <c r="AK50" i="4"/>
  <c r="AJ50" i="4"/>
  <c r="AH50" i="4"/>
  <c r="AG50" i="4"/>
  <c r="AF50" i="4"/>
  <c r="AE50" i="4"/>
  <c r="AD50" i="4"/>
  <c r="AC50" i="4"/>
  <c r="AB50" i="4"/>
  <c r="Z50" i="4"/>
  <c r="I50" i="4"/>
  <c r="AL50" i="4" s="1"/>
  <c r="BJ49" i="4"/>
  <c r="BF49" i="4"/>
  <c r="BD49" i="4"/>
  <c r="AP49" i="4"/>
  <c r="BI49" i="4" s="1"/>
  <c r="AC49" i="4" s="1"/>
  <c r="AO49" i="4"/>
  <c r="BH49" i="4" s="1"/>
  <c r="AB49" i="4" s="1"/>
  <c r="AK49" i="4"/>
  <c r="AJ49" i="4"/>
  <c r="AH49" i="4"/>
  <c r="AG49" i="4"/>
  <c r="AF49" i="4"/>
  <c r="AE49" i="4"/>
  <c r="AD49" i="4"/>
  <c r="Z49" i="4"/>
  <c r="I49" i="4"/>
  <c r="AL49" i="4" s="1"/>
  <c r="BJ48" i="4"/>
  <c r="BF48" i="4"/>
  <c r="BD48" i="4"/>
  <c r="AP48" i="4"/>
  <c r="BI48" i="4" s="1"/>
  <c r="AC48" i="4" s="1"/>
  <c r="AO48" i="4"/>
  <c r="BH48" i="4" s="1"/>
  <c r="AB48" i="4" s="1"/>
  <c r="AK48" i="4"/>
  <c r="AJ48" i="4"/>
  <c r="AH48" i="4"/>
  <c r="AG48" i="4"/>
  <c r="AF48" i="4"/>
  <c r="AE48" i="4"/>
  <c r="AD48" i="4"/>
  <c r="Z48" i="4"/>
  <c r="I48" i="4"/>
  <c r="AL48" i="4" s="1"/>
  <c r="BJ47" i="4"/>
  <c r="BF47" i="4"/>
  <c r="BD47" i="4"/>
  <c r="AP47" i="4"/>
  <c r="BI47" i="4" s="1"/>
  <c r="AC47" i="4" s="1"/>
  <c r="AO47" i="4"/>
  <c r="BH47" i="4" s="1"/>
  <c r="AB47" i="4" s="1"/>
  <c r="AK47" i="4"/>
  <c r="AJ47" i="4"/>
  <c r="AS45" i="4" s="1"/>
  <c r="AH47" i="4"/>
  <c r="AG47" i="4"/>
  <c r="AF47" i="4"/>
  <c r="AE47" i="4"/>
  <c r="AD47" i="4"/>
  <c r="Z47" i="4"/>
  <c r="I47" i="4"/>
  <c r="BJ46" i="4"/>
  <c r="BF46" i="4"/>
  <c r="BD46" i="4"/>
  <c r="AP46" i="4"/>
  <c r="BI46" i="4" s="1"/>
  <c r="AC46" i="4" s="1"/>
  <c r="AO46" i="4"/>
  <c r="BH46" i="4" s="1"/>
  <c r="AB46" i="4" s="1"/>
  <c r="AK46" i="4"/>
  <c r="AJ46" i="4"/>
  <c r="AH46" i="4"/>
  <c r="AG46" i="4"/>
  <c r="AF46" i="4"/>
  <c r="AE46" i="4"/>
  <c r="AD46" i="4"/>
  <c r="Z46" i="4"/>
  <c r="I46" i="4"/>
  <c r="AL46" i="4" s="1"/>
  <c r="BJ44" i="4"/>
  <c r="BF44" i="4"/>
  <c r="BD44" i="4"/>
  <c r="AP44" i="4"/>
  <c r="BI44" i="4" s="1"/>
  <c r="AC44" i="4" s="1"/>
  <c r="AO44" i="4"/>
  <c r="BH44" i="4" s="1"/>
  <c r="AB44" i="4" s="1"/>
  <c r="AK44" i="4"/>
  <c r="AJ44" i="4"/>
  <c r="AH44" i="4"/>
  <c r="AG44" i="4"/>
  <c r="AF44" i="4"/>
  <c r="AE44" i="4"/>
  <c r="AD44" i="4"/>
  <c r="Z44" i="4"/>
  <c r="I44" i="4"/>
  <c r="AL44" i="4" s="1"/>
  <c r="BJ43" i="4"/>
  <c r="BF43" i="4"/>
  <c r="BD43" i="4"/>
  <c r="AP43" i="4"/>
  <c r="BI43" i="4" s="1"/>
  <c r="AC43" i="4" s="1"/>
  <c r="AO43" i="4"/>
  <c r="BH43" i="4" s="1"/>
  <c r="AB43" i="4" s="1"/>
  <c r="AK43" i="4"/>
  <c r="AJ43" i="4"/>
  <c r="AH43" i="4"/>
  <c r="AG43" i="4"/>
  <c r="AF43" i="4"/>
  <c r="AE43" i="4"/>
  <c r="AD43" i="4"/>
  <c r="Z43" i="4"/>
  <c r="I43" i="4"/>
  <c r="AL43" i="4" s="1"/>
  <c r="BJ42" i="4"/>
  <c r="BF42" i="4"/>
  <c r="BD42" i="4"/>
  <c r="AP42" i="4"/>
  <c r="BI42" i="4" s="1"/>
  <c r="AC42" i="4" s="1"/>
  <c r="AO42" i="4"/>
  <c r="BH42" i="4" s="1"/>
  <c r="AB42" i="4" s="1"/>
  <c r="AK42" i="4"/>
  <c r="AJ42" i="4"/>
  <c r="AH42" i="4"/>
  <c r="AG42" i="4"/>
  <c r="AF42" i="4"/>
  <c r="AE42" i="4"/>
  <c r="AD42" i="4"/>
  <c r="Z42" i="4"/>
  <c r="I42" i="4"/>
  <c r="AL42" i="4" s="1"/>
  <c r="AT41" i="4"/>
  <c r="BJ39" i="4"/>
  <c r="BF39" i="4"/>
  <c r="BD39" i="4"/>
  <c r="AP39" i="4"/>
  <c r="BI39" i="4" s="1"/>
  <c r="AC39" i="4" s="1"/>
  <c r="AO39" i="4"/>
  <c r="BH39" i="4" s="1"/>
  <c r="AB39" i="4" s="1"/>
  <c r="AL39" i="4"/>
  <c r="AU38" i="4" s="1"/>
  <c r="AK39" i="4"/>
  <c r="AT38" i="4" s="1"/>
  <c r="AJ39" i="4"/>
  <c r="AS38" i="4" s="1"/>
  <c r="AH39" i="4"/>
  <c r="AG39" i="4"/>
  <c r="AF39" i="4"/>
  <c r="AE39" i="4"/>
  <c r="AD39" i="4"/>
  <c r="Z39" i="4"/>
  <c r="I39" i="4"/>
  <c r="I38" i="4" s="1"/>
  <c r="G15" i="1" s="1"/>
  <c r="I15" i="1" s="1"/>
  <c r="BJ36" i="4"/>
  <c r="BF36" i="4"/>
  <c r="BD36" i="4"/>
  <c r="AX36" i="4"/>
  <c r="AP36" i="4"/>
  <c r="BI36" i="4" s="1"/>
  <c r="AC36" i="4" s="1"/>
  <c r="AO36" i="4"/>
  <c r="BH36" i="4" s="1"/>
  <c r="AB36" i="4" s="1"/>
  <c r="AK36" i="4"/>
  <c r="AJ36" i="4"/>
  <c r="AH36" i="4"/>
  <c r="AG36" i="4"/>
  <c r="AF36" i="4"/>
  <c r="AE36" i="4"/>
  <c r="AD36" i="4"/>
  <c r="Z36" i="4"/>
  <c r="I36" i="4"/>
  <c r="AL36" i="4" s="1"/>
  <c r="BJ35" i="4"/>
  <c r="BF35" i="4"/>
  <c r="BD35" i="4"/>
  <c r="AP35" i="4"/>
  <c r="BI35" i="4" s="1"/>
  <c r="AC35" i="4" s="1"/>
  <c r="AO35" i="4"/>
  <c r="BH35" i="4" s="1"/>
  <c r="AB35" i="4" s="1"/>
  <c r="AK35" i="4"/>
  <c r="AJ35" i="4"/>
  <c r="AS33" i="4" s="1"/>
  <c r="AH35" i="4"/>
  <c r="AG35" i="4"/>
  <c r="AF35" i="4"/>
  <c r="AE35" i="4"/>
  <c r="AD35" i="4"/>
  <c r="Z35" i="4"/>
  <c r="I35" i="4"/>
  <c r="AL35" i="4" s="1"/>
  <c r="BJ34" i="4"/>
  <c r="BF34" i="4"/>
  <c r="BD34" i="4"/>
  <c r="AP34" i="4"/>
  <c r="BI34" i="4" s="1"/>
  <c r="AC34" i="4" s="1"/>
  <c r="AO34" i="4"/>
  <c r="BH34" i="4" s="1"/>
  <c r="AB34" i="4" s="1"/>
  <c r="AK34" i="4"/>
  <c r="AJ34" i="4"/>
  <c r="AH34" i="4"/>
  <c r="AG34" i="4"/>
  <c r="AF34" i="4"/>
  <c r="AE34" i="4"/>
  <c r="AD34" i="4"/>
  <c r="Z34" i="4"/>
  <c r="I34" i="4"/>
  <c r="AL34" i="4" s="1"/>
  <c r="BJ32" i="4"/>
  <c r="BF32" i="4"/>
  <c r="BD32" i="4"/>
  <c r="AP32" i="4"/>
  <c r="BI32" i="4" s="1"/>
  <c r="AC32" i="4" s="1"/>
  <c r="AO32" i="4"/>
  <c r="BH32" i="4" s="1"/>
  <c r="AB32" i="4" s="1"/>
  <c r="AK32" i="4"/>
  <c r="AT31" i="4" s="1"/>
  <c r="AJ32" i="4"/>
  <c r="AS31" i="4" s="1"/>
  <c r="AH32" i="4"/>
  <c r="AG32" i="4"/>
  <c r="AF32" i="4"/>
  <c r="AE32" i="4"/>
  <c r="AD32" i="4"/>
  <c r="Z32" i="4"/>
  <c r="I32" i="4"/>
  <c r="AL32" i="4" s="1"/>
  <c r="AU31" i="4" s="1"/>
  <c r="BJ29" i="4"/>
  <c r="BF29" i="4"/>
  <c r="BD29" i="4"/>
  <c r="AP29" i="4"/>
  <c r="BI29" i="4" s="1"/>
  <c r="AC29" i="4" s="1"/>
  <c r="AO29" i="4"/>
  <c r="BH29" i="4" s="1"/>
  <c r="AB29" i="4" s="1"/>
  <c r="AK29" i="4"/>
  <c r="AJ29" i="4"/>
  <c r="AH29" i="4"/>
  <c r="AG29" i="4"/>
  <c r="AF29" i="4"/>
  <c r="AE29" i="4"/>
  <c r="AD29" i="4"/>
  <c r="Z29" i="4"/>
  <c r="I29" i="4"/>
  <c r="AL29" i="4" s="1"/>
  <c r="BJ28" i="4"/>
  <c r="BF28" i="4"/>
  <c r="BD28" i="4"/>
  <c r="AP28" i="4"/>
  <c r="BI28" i="4" s="1"/>
  <c r="AC28" i="4" s="1"/>
  <c r="AO28" i="4"/>
  <c r="BH28" i="4" s="1"/>
  <c r="AB28" i="4" s="1"/>
  <c r="AK28" i="4"/>
  <c r="AJ28" i="4"/>
  <c r="AH28" i="4"/>
  <c r="AG28" i="4"/>
  <c r="AF28" i="4"/>
  <c r="AE28" i="4"/>
  <c r="AD28" i="4"/>
  <c r="Z28" i="4"/>
  <c r="I28" i="4"/>
  <c r="AL28" i="4" s="1"/>
  <c r="BJ25" i="4"/>
  <c r="BF25" i="4"/>
  <c r="BD25" i="4"/>
  <c r="AP25" i="4"/>
  <c r="BI25" i="4" s="1"/>
  <c r="AC25" i="4" s="1"/>
  <c r="AO25" i="4"/>
  <c r="BH25" i="4" s="1"/>
  <c r="AB25" i="4" s="1"/>
  <c r="AK25" i="4"/>
  <c r="AJ25" i="4"/>
  <c r="AH25" i="4"/>
  <c r="AG25" i="4"/>
  <c r="AF25" i="4"/>
  <c r="AE25" i="4"/>
  <c r="AD25" i="4"/>
  <c r="Z25" i="4"/>
  <c r="I25" i="4"/>
  <c r="AL25" i="4" s="1"/>
  <c r="BJ20" i="4"/>
  <c r="BF20" i="4"/>
  <c r="BD20" i="4"/>
  <c r="AP20" i="4"/>
  <c r="BI20" i="4" s="1"/>
  <c r="AC20" i="4" s="1"/>
  <c r="AO20" i="4"/>
  <c r="BH20" i="4" s="1"/>
  <c r="AB20" i="4" s="1"/>
  <c r="AK20" i="4"/>
  <c r="AJ20" i="4"/>
  <c r="AH20" i="4"/>
  <c r="AG20" i="4"/>
  <c r="AF20" i="4"/>
  <c r="AE20" i="4"/>
  <c r="AD20" i="4"/>
  <c r="Z20" i="4"/>
  <c r="I20" i="4"/>
  <c r="AL20" i="4" s="1"/>
  <c r="BJ18" i="4"/>
  <c r="BF18" i="4"/>
  <c r="BD18" i="4"/>
  <c r="AX18" i="4"/>
  <c r="AP18" i="4"/>
  <c r="BI18" i="4" s="1"/>
  <c r="AC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L17" i="4"/>
  <c r="AK17" i="4"/>
  <c r="AJ17" i="4"/>
  <c r="AH17" i="4"/>
  <c r="AG17" i="4"/>
  <c r="AF17" i="4"/>
  <c r="AE17" i="4"/>
  <c r="AD17" i="4"/>
  <c r="Z17" i="4"/>
  <c r="I17" i="4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C18" i="2" s="1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BH13" i="4" s="1"/>
  <c r="AB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24" i="3"/>
  <c r="I17" i="2" s="1"/>
  <c r="I23" i="3"/>
  <c r="I22" i="3"/>
  <c r="I15" i="2" s="1"/>
  <c r="I21" i="3"/>
  <c r="I14" i="2" s="1"/>
  <c r="I17" i="3"/>
  <c r="I16" i="3"/>
  <c r="I15" i="3"/>
  <c r="I10" i="3"/>
  <c r="F10" i="3"/>
  <c r="C10" i="3"/>
  <c r="F8" i="3"/>
  <c r="C8" i="3"/>
  <c r="F6" i="3"/>
  <c r="C6" i="3"/>
  <c r="F4" i="3"/>
  <c r="C4" i="3"/>
  <c r="F2" i="3"/>
  <c r="C2" i="3"/>
  <c r="I18" i="2"/>
  <c r="I16" i="2"/>
  <c r="F16" i="2"/>
  <c r="F15" i="2"/>
  <c r="F14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X14" i="4" l="1"/>
  <c r="C28" i="2"/>
  <c r="F28" i="2" s="1"/>
  <c r="AW13" i="4"/>
  <c r="BC13" i="4" s="1"/>
  <c r="C17" i="2"/>
  <c r="AW43" i="4"/>
  <c r="C19" i="2"/>
  <c r="I51" i="4"/>
  <c r="G18" i="1" s="1"/>
  <c r="I18" i="1" s="1"/>
  <c r="AX29" i="4"/>
  <c r="AW50" i="4"/>
  <c r="C16" i="2"/>
  <c r="AW28" i="4"/>
  <c r="AX52" i="4"/>
  <c r="C20" i="2"/>
  <c r="AS12" i="4"/>
  <c r="AW35" i="4"/>
  <c r="AX49" i="4"/>
  <c r="AT12" i="4"/>
  <c r="AS19" i="4"/>
  <c r="AX42" i="4"/>
  <c r="AT51" i="4"/>
  <c r="AS51" i="4"/>
  <c r="AT33" i="4"/>
  <c r="AW46" i="4"/>
  <c r="I41" i="4"/>
  <c r="G16" i="1" s="1"/>
  <c r="I16" i="1" s="1"/>
  <c r="AS41" i="4"/>
  <c r="I45" i="4"/>
  <c r="G17" i="1" s="1"/>
  <c r="I17" i="1" s="1"/>
  <c r="AT45" i="4"/>
  <c r="C27" i="2"/>
  <c r="I27" i="3"/>
  <c r="AU41" i="4"/>
  <c r="AW57" i="4"/>
  <c r="AX60" i="4"/>
  <c r="AX65" i="4"/>
  <c r="F22" i="2"/>
  <c r="AW17" i="4"/>
  <c r="I31" i="4"/>
  <c r="G13" i="1" s="1"/>
  <c r="I13" i="1" s="1"/>
  <c r="AW39" i="4"/>
  <c r="AX44" i="4"/>
  <c r="AX47" i="4"/>
  <c r="AW48" i="4"/>
  <c r="AW66" i="4"/>
  <c r="I22" i="2"/>
  <c r="I18" i="3"/>
  <c r="F29" i="3" s="1"/>
  <c r="I19" i="4"/>
  <c r="G12" i="1" s="1"/>
  <c r="I12" i="1" s="1"/>
  <c r="AT19" i="4"/>
  <c r="AU33" i="4"/>
  <c r="AU51" i="4"/>
  <c r="C15" i="2"/>
  <c r="AU12" i="4"/>
  <c r="AU19" i="4"/>
  <c r="C14" i="2"/>
  <c r="C21" i="2"/>
  <c r="I12" i="4"/>
  <c r="AX13" i="4"/>
  <c r="AW16" i="4"/>
  <c r="AX17" i="4"/>
  <c r="AW25" i="4"/>
  <c r="AX28" i="4"/>
  <c r="AW34" i="4"/>
  <c r="AX35" i="4"/>
  <c r="AV35" i="4" s="1"/>
  <c r="AW42" i="4"/>
  <c r="AX43" i="4"/>
  <c r="AV43" i="4" s="1"/>
  <c r="AL47" i="4"/>
  <c r="AU45" i="4" s="1"/>
  <c r="AW47" i="4"/>
  <c r="AX48" i="4"/>
  <c r="AW52" i="4"/>
  <c r="AX57" i="4"/>
  <c r="AW65" i="4"/>
  <c r="AX66" i="4"/>
  <c r="AV66" i="4" s="1"/>
  <c r="AW15" i="4"/>
  <c r="AX16" i="4"/>
  <c r="AW20" i="4"/>
  <c r="AX25" i="4"/>
  <c r="BC28" i="4"/>
  <c r="AW32" i="4"/>
  <c r="I33" i="4"/>
  <c r="G14" i="1" s="1"/>
  <c r="I14" i="1" s="1"/>
  <c r="AX34" i="4"/>
  <c r="AW62" i="4"/>
  <c r="AW14" i="4"/>
  <c r="AX15" i="4"/>
  <c r="AW18" i="4"/>
  <c r="AX20" i="4"/>
  <c r="AW29" i="4"/>
  <c r="AX32" i="4"/>
  <c r="AW36" i="4"/>
  <c r="AX39" i="4"/>
  <c r="AW44" i="4"/>
  <c r="AX46" i="4"/>
  <c r="BC46" i="4" s="1"/>
  <c r="AW49" i="4"/>
  <c r="AX50" i="4"/>
  <c r="BC50" i="4" s="1"/>
  <c r="AW60" i="4"/>
  <c r="AX62" i="4"/>
  <c r="AV48" i="4" l="1"/>
  <c r="BC66" i="4"/>
  <c r="AV13" i="4"/>
  <c r="AV17" i="4"/>
  <c r="BC39" i="4"/>
  <c r="BC57" i="4"/>
  <c r="AV28" i="4"/>
  <c r="AV57" i="4"/>
  <c r="BC48" i="4"/>
  <c r="BC35" i="4"/>
  <c r="AV36" i="4"/>
  <c r="BC36" i="4"/>
  <c r="BC62" i="4"/>
  <c r="AV62" i="4"/>
  <c r="AV65" i="4"/>
  <c r="BC65" i="4"/>
  <c r="BC15" i="4"/>
  <c r="AV15" i="4"/>
  <c r="AV34" i="4"/>
  <c r="BC34" i="4"/>
  <c r="AV16" i="4"/>
  <c r="BC16" i="4"/>
  <c r="C22" i="2"/>
  <c r="AV50" i="4"/>
  <c r="AV49" i="4"/>
  <c r="BC49" i="4"/>
  <c r="AV18" i="4"/>
  <c r="BC18" i="4"/>
  <c r="AV47" i="4"/>
  <c r="BC47" i="4"/>
  <c r="AV60" i="4"/>
  <c r="BC60" i="4"/>
  <c r="AV44" i="4"/>
  <c r="BC44" i="4"/>
  <c r="AV29" i="4"/>
  <c r="BC29" i="4"/>
  <c r="AV14" i="4"/>
  <c r="BC14" i="4"/>
  <c r="BC20" i="4"/>
  <c r="AV20" i="4"/>
  <c r="AV52" i="4"/>
  <c r="BC52" i="4"/>
  <c r="AV46" i="4"/>
  <c r="C29" i="2"/>
  <c r="AV39" i="4"/>
  <c r="BC43" i="4"/>
  <c r="BC32" i="4"/>
  <c r="AV32" i="4"/>
  <c r="BC17" i="4"/>
  <c r="AV42" i="4"/>
  <c r="BC42" i="4"/>
  <c r="AV25" i="4"/>
  <c r="BC25" i="4"/>
  <c r="I67" i="4"/>
  <c r="G11" i="1"/>
  <c r="I11" i="1" s="1"/>
  <c r="G19" i="1" s="1"/>
  <c r="F29" i="2" l="1"/>
  <c r="I28" i="2"/>
  <c r="I29" i="2" s="1"/>
</calcChain>
</file>

<file path=xl/sharedStrings.xml><?xml version="1.0" encoding="utf-8"?>
<sst xmlns="http://schemas.openxmlformats.org/spreadsheetml/2006/main" count="704" uniqueCount="247">
  <si>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</si>
  <si>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</si>
  <si>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</si>
  <si>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</si>
  <si>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</si>
  <si>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</si>
  <si>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</si>
  <si>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05.08.2024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</si>
  <si>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</si>
  <si>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</si>
  <si>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</si>
  <si>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</si>
  <si>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</si>
  <si>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</si>
  <si>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</si>
  <si>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</si>
  <si>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</si>
  <si>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</si>
  <si>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</si>
  <si>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123</t>
  </si>
  <si>
    <t>Vedlejší a ostatní náklady</t>
  </si>
  <si>
    <t>T</t>
  </si>
  <si>
    <t>11</t>
  </si>
  <si>
    <t>Přípravné a přidružené práce</t>
  </si>
  <si>
    <t>18</t>
  </si>
  <si>
    <t>Povrchové úpravy terénu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</si>
  <si>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</si>
  <si>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</si>
  <si>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</si>
  <si>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</si>
  <si>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</si>
  <si>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</si>
  <si>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</si>
  <si>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</si>
  <si>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</si>
  <si>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</si>
  <si>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</si>
  <si>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</si>
  <si>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</si>
  <si>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</si>
  <si>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</si>
  <si>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</si>
  <si>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</si>
  <si>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</si>
  <si>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</si>
  <si>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</si>
  <si>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</si>
  <si>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</si>
  <si>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</si>
  <si>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</si>
  <si>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</si>
  <si>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</si>
  <si>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</si>
  <si>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</si>
  <si>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</si>
  <si>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</si>
  <si>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</si>
  <si>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</si>
  <si>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</si>
  <si>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</si>
  <si>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</si>
  <si>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</si>
  <si>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</si>
  <si>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</si>
  <si>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</si>
  <si>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</si>
  <si>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</si>
  <si>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</si>
  <si>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</si>
  <si>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</si>
  <si>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</si>
  <si>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</si>
  <si>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</si>
  <si>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</si>
  <si>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</si>
  <si>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</si>
  <si>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</si>
  <si>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</si>
  <si>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</si>
  <si>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</si>
  <si>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</si>
  <si>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</si>
  <si>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</si>
  <si>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</si>
  <si>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</si>
  <si>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</si>
  <si>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</si>
  <si>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</si>
  <si>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</si>
  <si>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</si>
  <si>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</si>
  <si>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</si>
  <si>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</si>
  <si>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</si>
  <si>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</si>
  <si>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</si>
  <si>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</si>
  <si>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24117 Bruntál, oprava ul. Wolkerova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</si>
  <si>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</si>
  <si>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</si>
  <si>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</si>
  <si>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</si>
  <si>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</si>
  <si>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</si>
  <si>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</si>
  <si>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</si>
  <si>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</si>
  <si>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</si>
  <si>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</si>
  <si>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</si>
  <si>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</si>
  <si>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</si>
  <si>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</si>
  <si>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</si>
  <si>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</si>
  <si>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</si>
  <si>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</si>
  <si>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</si>
  <si>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</si>
  <si>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</si>
  <si>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</si>
  <si>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</si>
  <si>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</si>
  <si>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</si>
  <si>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</si>
  <si>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</si>
  <si>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123_</t>
  </si>
  <si>
    <t>1_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</si>
  <si>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</si>
  <si>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</si>
  <si>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</si>
  <si>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</si>
  <si>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</si>
  <si>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</si>
  <si>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</si>
  <si>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</si>
  <si>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</si>
  <si>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</si>
  <si>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</si>
  <si>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00126111VD</t>
  </si>
  <si>
    <t>6</t>
  </si>
  <si>
    <t>123172VD</t>
  </si>
  <si>
    <t>Hutnící zkoušky SZZ</t>
  </si>
  <si>
    <t>kus</t>
  </si>
  <si>
    <t>7</t>
  </si>
  <si>
    <t>113151313R00</t>
  </si>
  <si>
    <t>Fréz.živič.krytu nad 500 m2, s překážkami, tl.4 cm</t>
  </si>
  <si>
    <t>m2</t>
  </si>
  <si>
    <t>11_</t>
  </si>
  <si>
    <t>na úrověň penetračního makadamu</t>
  </si>
  <si>
    <t>60,0*5,80</t>
  </si>
  <si>
    <t>155,0*5,0</t>
  </si>
  <si>
    <t>11,0*6,0/2</t>
  </si>
  <si>
    <t>8</t>
  </si>
  <si>
    <t>113151315R00</t>
  </si>
  <si>
    <t>Fréz.živič.krytu nad 500 m2, s překážkami, tl.6 cm</t>
  </si>
  <si>
    <t>spodní vrstva pen. makadamu - narušené části</t>
  </si>
  <si>
    <t>1156,0*0,5</t>
  </si>
  <si>
    <t>9</t>
  </si>
  <si>
    <t>113203111R00</t>
  </si>
  <si>
    <t>Vytrhání obrub z dlažebních kostek</t>
  </si>
  <si>
    <t>m</t>
  </si>
  <si>
    <t>10</t>
  </si>
  <si>
    <t>113109315R00</t>
  </si>
  <si>
    <t>Odstranění podkladu pl.50 m2, bet.prostý tl.15 cm</t>
  </si>
  <si>
    <t>4,0*0,5</t>
  </si>
  <si>
    <t>181101102R00</t>
  </si>
  <si>
    <t>Úprava pláně v zářezech v hor. 1-4, se zhutněním</t>
  </si>
  <si>
    <t>18_</t>
  </si>
  <si>
    <t>12</t>
  </si>
  <si>
    <t>573231125R00</t>
  </si>
  <si>
    <t>Postřik spojovací z KAE, množství zbytkového asfaltu 0,5 kg/m2</t>
  </si>
  <si>
    <t>57_</t>
  </si>
  <si>
    <t>5_</t>
  </si>
  <si>
    <t>13</t>
  </si>
  <si>
    <t>577141212R00</t>
  </si>
  <si>
    <t>Beton asfalt. ACO 8,ACO 11,ACO 16, do 3 m, tl.5 cm</t>
  </si>
  <si>
    <t>14</t>
  </si>
  <si>
    <t>572713112R00</t>
  </si>
  <si>
    <t>Vyrovnání povrchu krytů kamen. obaleným asfaltem</t>
  </si>
  <si>
    <t>t</t>
  </si>
  <si>
    <t>1156,0/2*0,06*2,5</t>
  </si>
  <si>
    <t>15</t>
  </si>
  <si>
    <t>599141111R00</t>
  </si>
  <si>
    <t>Vyplnění spár živičnou zálivkou</t>
  </si>
  <si>
    <t>59_</t>
  </si>
  <si>
    <t>16,0+2,0+5,8</t>
  </si>
  <si>
    <t>16</t>
  </si>
  <si>
    <t>899331111R00</t>
  </si>
  <si>
    <t>Výšková úprava vstupu do 20 cm, zvýšení poklopu</t>
  </si>
  <si>
    <t>89_</t>
  </si>
  <si>
    <t>8_</t>
  </si>
  <si>
    <t>17</t>
  </si>
  <si>
    <t>899431111R00</t>
  </si>
  <si>
    <t>Výšková úprava do 20 cm, zvýšení krytu šoupěte</t>
  </si>
  <si>
    <t>899231111R00</t>
  </si>
  <si>
    <t>Výšková úprava vstupu do 20 cm, zvýšení mříže</t>
  </si>
  <si>
    <t>19</t>
  </si>
  <si>
    <t>919735112R00</t>
  </si>
  <si>
    <t>Řezání stávajícího živičného krytu tl. 5 - 10 cm</t>
  </si>
  <si>
    <t>91_</t>
  </si>
  <si>
    <t>9_</t>
  </si>
  <si>
    <t>20</t>
  </si>
  <si>
    <t>919735123R00</t>
  </si>
  <si>
    <t>Řezání stávajícího betonového krytu tl. 10 - 15 cm</t>
  </si>
  <si>
    <t>21</t>
  </si>
  <si>
    <t>915711111RT2</t>
  </si>
  <si>
    <t>Vodorovné značení dělicích čar 12 cm střík.barvou</t>
  </si>
  <si>
    <t>22</t>
  </si>
  <si>
    <t>915791111R00</t>
  </si>
  <si>
    <t>Předznačení pro značení dělicí čáry,vodicí proužky</t>
  </si>
  <si>
    <t>23</t>
  </si>
  <si>
    <t>998225111R00</t>
  </si>
  <si>
    <t>Přesun hmot, pozemní komunikace, kryt živičný</t>
  </si>
  <si>
    <t>24</t>
  </si>
  <si>
    <t>979082213R00</t>
  </si>
  <si>
    <t>Vodorovná doprava suti po suchu do 1 km</t>
  </si>
  <si>
    <t>S_</t>
  </si>
  <si>
    <t>frézovaný materiál - PM</t>
  </si>
  <si>
    <t>76,296</t>
  </si>
  <si>
    <t>beton</t>
  </si>
  <si>
    <t>0,720</t>
  </si>
  <si>
    <t>25</t>
  </si>
  <si>
    <t>979082219R00</t>
  </si>
  <si>
    <t>Příplatek za dopravu suti po suchu za další 1 km</t>
  </si>
  <si>
    <t>0,72*3</t>
  </si>
  <si>
    <t>76,296*16</t>
  </si>
  <si>
    <t>26</t>
  </si>
  <si>
    <t>979999982R00</t>
  </si>
  <si>
    <t>Poplatek za recyklaci betonu kusovost nad 1600 cm2 (skup.170101)</t>
  </si>
  <si>
    <t>27</t>
  </si>
  <si>
    <t>979084215R00</t>
  </si>
  <si>
    <t>Vodorovná doprava vybour. hmot po suchu do 3 km</t>
  </si>
  <si>
    <t>skládka investora - kostky</t>
  </si>
  <si>
    <t>2,30</t>
  </si>
  <si>
    <t>28</t>
  </si>
  <si>
    <t>979990261R00</t>
  </si>
  <si>
    <t>Poplatek za uložení asfaltové směsi obsahující dehet</t>
  </si>
  <si>
    <t>29</t>
  </si>
  <si>
    <t>979999995R00</t>
  </si>
  <si>
    <t>Výkup asfaltového recyklátu</t>
  </si>
  <si>
    <t>Beton asfalt. ACO 11,ACO 16,  tl.5 cm</t>
  </si>
  <si>
    <t>Poplatek za uložení asfaltové směsi obsahující dehet (170301)</t>
  </si>
  <si>
    <t>IČ 00295892</t>
  </si>
  <si>
    <t>Město Bruntál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</si>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</sst>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1" fillId="0" borderId="37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workbookViewId="0">
      <pane ySplit="11" topLeftCell="A12" activePane="bottomLeft" state="frozen"/>
      <selection pane="bottomLeft" activeCell="C10" sqref="C10"/>
    </sheetView>
  </sheetViews>
  <sheetFormatPr baseColWidth="10" defaultColWidth="12.1640625" defaultRowHeight="15" customHeight="1" x14ac:dyDescent="0.2"/>
  <cols>
    <col min="1" max="2" width="8.5" customWidth="1"/>
    <col min="3" max="3" width="71.5" customWidth="1"/>
    <col min="4" max="6" width="12.1640625" customWidth="1"/>
    <col min="7" max="7" width="27.83203125" customWidth="1"/>
    <col min="8" max="9" width="0" hidden="1" customWidth="1"/>
  </cols>
  <sheetData>
    <row r="1" spans="1:9" ht="54.75" customHeight="1" x14ac:dyDescent="0.2">
      <c r="A1" s="82" t="s">
        <v>0</v>
      </c>
      <c r="B1" s="82"/>
      <c r="C1" s="82"/>
      <c r="D1" s="82"/>
      <c r="E1" s="82"/>
      <c r="F1" s="82"/>
      <c r="G1" s="82"/>
    </row>
    <row r="2" spans="1:9" x14ac:dyDescent="0.2">
      <c r="A2" s="83" t="s">
        <v>1</v>
      </c>
      <c r="B2" s="84"/>
      <c r="C2" s="93" t="str">
        <f>'Stavební rozpočet'!D2</f>
        <v>24117 Bruntál, oprava ul. Wolkerova</v>
      </c>
      <c r="D2" s="84" t="s">
        <v>2</v>
      </c>
      <c r="E2" s="84" t="s">
        <v>3</v>
      </c>
      <c r="F2" s="91" t="s">
        <v>4</v>
      </c>
      <c r="G2" s="95" t="str">
        <f>'Stavební rozpočet'!J2</f>
        <v>Město Bruntál</v>
      </c>
    </row>
    <row r="3" spans="1:9" ht="15" customHeight="1" x14ac:dyDescent="0.2">
      <c r="A3" s="85"/>
      <c r="B3" s="86"/>
      <c r="C3" s="94"/>
      <c r="D3" s="86"/>
      <c r="E3" s="86"/>
      <c r="F3" s="86"/>
      <c r="G3" s="96"/>
    </row>
    <row r="4" spans="1:9" x14ac:dyDescent="0.2">
      <c r="A4" s="87" t="s">
        <v>5</v>
      </c>
      <c r="B4" s="86"/>
      <c r="C4" s="92" t="str">
        <f>'Stavební rozpočet'!D4</f>
        <v xml:space="preserve"> </v>
      </c>
      <c r="D4" s="86" t="s">
        <v>6</v>
      </c>
      <c r="E4" s="86"/>
      <c r="F4" s="92" t="s">
        <v>8</v>
      </c>
      <c r="G4" s="97" t="str">
        <f>'Stavební rozpočet'!J4</f>
        <v> </v>
      </c>
    </row>
    <row r="5" spans="1:9" ht="15" customHeight="1" x14ac:dyDescent="0.2">
      <c r="A5" s="85"/>
      <c r="B5" s="86"/>
      <c r="C5" s="86"/>
      <c r="D5" s="86"/>
      <c r="E5" s="86"/>
      <c r="F5" s="86"/>
      <c r="G5" s="96"/>
    </row>
    <row r="6" spans="1:9" x14ac:dyDescent="0.2">
      <c r="A6" s="87" t="s">
        <v>9</v>
      </c>
      <c r="B6" s="86"/>
      <c r="C6" s="92" t="str">
        <f>'Stavební rozpočet'!D6</f>
        <v xml:space="preserve"> </v>
      </c>
      <c r="D6" s="86" t="s">
        <v>10</v>
      </c>
      <c r="E6" s="86" t="s">
        <v>3</v>
      </c>
      <c r="F6" s="92" t="s">
        <v>11</v>
      </c>
      <c r="G6" s="97" t="str">
        <f>'Stavební rozpočet'!J6</f>
        <v> </v>
      </c>
    </row>
    <row r="7" spans="1:9" ht="15" customHeight="1" x14ac:dyDescent="0.2">
      <c r="A7" s="85"/>
      <c r="B7" s="86"/>
      <c r="C7" s="86"/>
      <c r="D7" s="86"/>
      <c r="E7" s="86"/>
      <c r="F7" s="86"/>
      <c r="G7" s="96"/>
    </row>
    <row r="8" spans="1:9" x14ac:dyDescent="0.2">
      <c r="A8" s="87" t="s">
        <v>12</v>
      </c>
      <c r="B8" s="86"/>
      <c r="C8" s="92" t="s">
        <v>246</v>
      </c>
      <c r="D8" s="86" t="s">
        <v>13</v>
      </c>
      <c r="E8" s="86" t="s">
        <v>7</v>
      </c>
      <c r="F8" s="86" t="s">
        <v>13</v>
      </c>
      <c r="G8" s="97" t="str">
        <f>'Stavební rozpočet'!H8</f>
        <v>05.08.2024</v>
      </c>
    </row>
    <row r="9" spans="1:9" x14ac:dyDescent="0.2">
      <c r="A9" s="88"/>
      <c r="B9" s="89"/>
      <c r="C9" s="89"/>
      <c r="D9" s="90"/>
      <c r="E9" s="90"/>
      <c r="F9" s="90"/>
      <c r="G9" s="98"/>
    </row>
    <row r="10" spans="1:9" x14ac:dyDescent="0.2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">
      <c r="A11" s="8" t="s">
        <v>18</v>
      </c>
      <c r="B11" s="9" t="s">
        <v>19</v>
      </c>
      <c r="C11" s="86" t="s">
        <v>20</v>
      </c>
      <c r="D11" s="86"/>
      <c r="E11" s="86"/>
      <c r="F11" s="86"/>
      <c r="G11" s="10">
        <f>ROUND('Stavební rozpočet'!I12,2)</f>
        <v>0</v>
      </c>
      <c r="H11" s="11" t="s">
        <v>21</v>
      </c>
      <c r="I11" s="12">
        <f t="shared" ref="I11:I18" si="0">IF(H11="F",0,G11)</f>
        <v>0</v>
      </c>
    </row>
    <row r="12" spans="1:9" x14ac:dyDescent="0.2">
      <c r="A12" s="1" t="s">
        <v>18</v>
      </c>
      <c r="B12" s="2" t="s">
        <v>22</v>
      </c>
      <c r="C12" s="86" t="s">
        <v>23</v>
      </c>
      <c r="D12" s="86"/>
      <c r="E12" s="86"/>
      <c r="F12" s="86"/>
      <c r="G12" s="12">
        <f>ROUND('Stavební rozpočet'!I19,2)</f>
        <v>0</v>
      </c>
      <c r="H12" s="11" t="s">
        <v>21</v>
      </c>
      <c r="I12" s="12">
        <f t="shared" si="0"/>
        <v>0</v>
      </c>
    </row>
    <row r="13" spans="1:9" x14ac:dyDescent="0.2">
      <c r="A13" s="1" t="s">
        <v>18</v>
      </c>
      <c r="B13" s="2" t="s">
        <v>24</v>
      </c>
      <c r="C13" s="86" t="s">
        <v>25</v>
      </c>
      <c r="D13" s="86"/>
      <c r="E13" s="86"/>
      <c r="F13" s="86"/>
      <c r="G13" s="12">
        <f>ROUND('Stavební rozpočet'!I31,2)</f>
        <v>0</v>
      </c>
      <c r="H13" s="11" t="s">
        <v>21</v>
      </c>
      <c r="I13" s="12">
        <f t="shared" si="0"/>
        <v>0</v>
      </c>
    </row>
    <row r="14" spans="1:9" x14ac:dyDescent="0.2">
      <c r="A14" s="1" t="s">
        <v>18</v>
      </c>
      <c r="B14" s="2" t="s">
        <v>26</v>
      </c>
      <c r="C14" s="86" t="s">
        <v>27</v>
      </c>
      <c r="D14" s="86"/>
      <c r="E14" s="86"/>
      <c r="F14" s="86"/>
      <c r="G14" s="12">
        <f>ROUND('Stavební rozpočet'!I33,2)</f>
        <v>0</v>
      </c>
      <c r="H14" s="11" t="s">
        <v>21</v>
      </c>
      <c r="I14" s="12">
        <f t="shared" si="0"/>
        <v>0</v>
      </c>
    </row>
    <row r="15" spans="1:9" x14ac:dyDescent="0.2">
      <c r="A15" s="1" t="s">
        <v>18</v>
      </c>
      <c r="B15" s="2" t="s">
        <v>28</v>
      </c>
      <c r="C15" s="86" t="s">
        <v>29</v>
      </c>
      <c r="D15" s="86"/>
      <c r="E15" s="86"/>
      <c r="F15" s="86"/>
      <c r="G15" s="12">
        <f>ROUND('Stavební rozpočet'!I38,2)</f>
        <v>0</v>
      </c>
      <c r="H15" s="11" t="s">
        <v>21</v>
      </c>
      <c r="I15" s="12">
        <f t="shared" si="0"/>
        <v>0</v>
      </c>
    </row>
    <row r="16" spans="1:9" x14ac:dyDescent="0.2">
      <c r="A16" s="1" t="s">
        <v>18</v>
      </c>
      <c r="B16" s="2" t="s">
        <v>30</v>
      </c>
      <c r="C16" s="86" t="s">
        <v>31</v>
      </c>
      <c r="D16" s="86"/>
      <c r="E16" s="86"/>
      <c r="F16" s="86"/>
      <c r="G16" s="12">
        <f>ROUND('Stavební rozpočet'!I41,2)</f>
        <v>0</v>
      </c>
      <c r="H16" s="11" t="s">
        <v>21</v>
      </c>
      <c r="I16" s="12">
        <f t="shared" si="0"/>
        <v>0</v>
      </c>
    </row>
    <row r="17" spans="1:9" x14ac:dyDescent="0.2">
      <c r="A17" s="1" t="s">
        <v>18</v>
      </c>
      <c r="B17" s="2" t="s">
        <v>32</v>
      </c>
      <c r="C17" s="86" t="s">
        <v>33</v>
      </c>
      <c r="D17" s="86"/>
      <c r="E17" s="86"/>
      <c r="F17" s="86"/>
      <c r="G17" s="12">
        <f>ROUND('Stavební rozpočet'!I45,2)</f>
        <v>0</v>
      </c>
      <c r="H17" s="11" t="s">
        <v>21</v>
      </c>
      <c r="I17" s="12">
        <f t="shared" si="0"/>
        <v>0</v>
      </c>
    </row>
    <row r="18" spans="1:9" x14ac:dyDescent="0.2">
      <c r="A18" s="1" t="s">
        <v>18</v>
      </c>
      <c r="B18" s="2" t="s">
        <v>34</v>
      </c>
      <c r="C18" s="86" t="s">
        <v>35</v>
      </c>
      <c r="D18" s="86"/>
      <c r="E18" s="86"/>
      <c r="F18" s="86"/>
      <c r="G18" s="12">
        <f>ROUND('Stavební rozpočet'!I51,2)</f>
        <v>0</v>
      </c>
      <c r="H18" s="11" t="s">
        <v>21</v>
      </c>
      <c r="I18" s="12">
        <f t="shared" si="0"/>
        <v>0</v>
      </c>
    </row>
    <row r="19" spans="1:9" x14ac:dyDescent="0.2">
      <c r="F19" s="3" t="s">
        <v>36</v>
      </c>
      <c r="G19" s="13">
        <f>ROUND(SUM(I11:I18),2)</f>
        <v>0</v>
      </c>
    </row>
  </sheetData>
  <mergeCells count="33">
    <mergeCell ref="C17:F17"/>
    <mergeCell ref="C18:F18"/>
    <mergeCell ref="C12:F12"/>
    <mergeCell ref="C13:F13"/>
    <mergeCell ref="C14:F14"/>
    <mergeCell ref="C15:F15"/>
    <mergeCell ref="C16:F16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F8" sqref="F8:G9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7.1640625" customWidth="1"/>
    <col min="4" max="4" width="10" customWidth="1"/>
    <col min="5" max="5" width="14" customWidth="1"/>
    <col min="6" max="6" width="27.1640625" customWidth="1"/>
    <col min="7" max="7" width="9.1640625" customWidth="1"/>
    <col min="8" max="8" width="12.83203125" customWidth="1"/>
    <col min="9" max="9" width="27.1640625" customWidth="1"/>
  </cols>
  <sheetData>
    <row r="1" spans="1:9" ht="54.75" customHeight="1" x14ac:dyDescent="0.2">
      <c r="A1" s="99" t="s">
        <v>37</v>
      </c>
      <c r="B1" s="82"/>
      <c r="C1" s="82"/>
      <c r="D1" s="82"/>
      <c r="E1" s="82"/>
      <c r="F1" s="82"/>
      <c r="G1" s="82"/>
      <c r="H1" s="82"/>
      <c r="I1" s="82"/>
    </row>
    <row r="2" spans="1:9" x14ac:dyDescent="0.2">
      <c r="A2" s="83" t="s">
        <v>1</v>
      </c>
      <c r="B2" s="84"/>
      <c r="C2" s="93" t="str">
        <f>'Stavební rozpočet'!D2</f>
        <v>24117 Bruntál, oprava ul. Wolkerova</v>
      </c>
      <c r="D2" s="103"/>
      <c r="E2" s="91" t="s">
        <v>4</v>
      </c>
      <c r="F2" s="91" t="str">
        <f>'Stavební rozpočet'!J2</f>
        <v>Město Bruntál</v>
      </c>
      <c r="G2" s="84"/>
      <c r="H2" s="91" t="s">
        <v>38</v>
      </c>
      <c r="I2" s="100" t="s">
        <v>245</v>
      </c>
    </row>
    <row r="3" spans="1:9" ht="15" customHeight="1" x14ac:dyDescent="0.2">
      <c r="A3" s="85"/>
      <c r="B3" s="86"/>
      <c r="C3" s="94"/>
      <c r="D3" s="94"/>
      <c r="E3" s="86"/>
      <c r="F3" s="86"/>
      <c r="G3" s="86"/>
      <c r="H3" s="86"/>
      <c r="I3" s="101"/>
    </row>
    <row r="4" spans="1:9" x14ac:dyDescent="0.2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38</v>
      </c>
      <c r="I4" s="96" t="s">
        <v>18</v>
      </c>
    </row>
    <row r="5" spans="1:9" ht="15" customHeight="1" x14ac:dyDescent="0.2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38</v>
      </c>
      <c r="I6" s="96" t="s">
        <v>18</v>
      </c>
    </row>
    <row r="7" spans="1:9" ht="15" customHeight="1" x14ac:dyDescent="0.2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">
      <c r="A8" s="87" t="s">
        <v>6</v>
      </c>
      <c r="B8" s="86"/>
      <c r="C8" s="92"/>
      <c r="D8" s="86"/>
      <c r="E8" s="92" t="s">
        <v>10</v>
      </c>
      <c r="F8" s="92" t="str">
        <f>'Stavební rozpočet'!H6</f>
        <v xml:space="preserve"> </v>
      </c>
      <c r="G8" s="86"/>
      <c r="H8" s="86" t="s">
        <v>39</v>
      </c>
      <c r="I8" s="102">
        <v>29</v>
      </c>
    </row>
    <row r="9" spans="1:9" x14ac:dyDescent="0.2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">
      <c r="A10" s="87" t="s">
        <v>40</v>
      </c>
      <c r="B10" s="86"/>
      <c r="C10" s="92" t="str">
        <f>'Stavební rozpočet'!D8</f>
        <v xml:space="preserve"> </v>
      </c>
      <c r="D10" s="86"/>
      <c r="E10" s="92" t="s">
        <v>12</v>
      </c>
      <c r="F10" s="92" t="s">
        <v>246</v>
      </c>
      <c r="G10" s="86"/>
      <c r="H10" s="86" t="s">
        <v>41</v>
      </c>
      <c r="I10" s="97" t="str">
        <f>'Stavební rozpočet'!H8</f>
        <v>05.08.2024</v>
      </c>
    </row>
    <row r="11" spans="1:9" x14ac:dyDescent="0.2">
      <c r="A11" s="108"/>
      <c r="B11" s="90"/>
      <c r="C11" s="90"/>
      <c r="D11" s="90"/>
      <c r="E11" s="90"/>
      <c r="F11" s="90"/>
      <c r="G11" s="90"/>
      <c r="H11" s="90"/>
      <c r="I11" s="104"/>
    </row>
    <row r="12" spans="1:9" ht="23" x14ac:dyDescent="0.2">
      <c r="A12" s="105" t="s">
        <v>42</v>
      </c>
      <c r="B12" s="105"/>
      <c r="C12" s="105"/>
      <c r="D12" s="105"/>
      <c r="E12" s="105"/>
      <c r="F12" s="105"/>
      <c r="G12" s="105"/>
      <c r="H12" s="105"/>
      <c r="I12" s="105"/>
    </row>
    <row r="13" spans="1:9" ht="26.25" customHeight="1" x14ac:dyDescent="0.2">
      <c r="A13" s="14" t="s">
        <v>43</v>
      </c>
      <c r="B13" s="106" t="s">
        <v>44</v>
      </c>
      <c r="C13" s="107"/>
      <c r="D13" s="15" t="s">
        <v>45</v>
      </c>
      <c r="E13" s="106" t="s">
        <v>46</v>
      </c>
      <c r="F13" s="107"/>
      <c r="G13" s="15" t="s">
        <v>47</v>
      </c>
      <c r="H13" s="106" t="s">
        <v>48</v>
      </c>
      <c r="I13" s="107"/>
    </row>
    <row r="14" spans="1:9" ht="16" x14ac:dyDescent="0.2">
      <c r="A14" s="16" t="s">
        <v>49</v>
      </c>
      <c r="B14" s="17" t="s">
        <v>50</v>
      </c>
      <c r="C14" s="18">
        <f>SUM('Stavební rozpočet'!AB12:AB66)</f>
        <v>0</v>
      </c>
      <c r="D14" s="115" t="s">
        <v>51</v>
      </c>
      <c r="E14" s="116"/>
      <c r="F14" s="18">
        <f>VORN!I15</f>
        <v>0</v>
      </c>
      <c r="G14" s="115" t="s">
        <v>52</v>
      </c>
      <c r="H14" s="116"/>
      <c r="I14" s="19">
        <f>VORN!I21</f>
        <v>0</v>
      </c>
    </row>
    <row r="15" spans="1:9" ht="16" x14ac:dyDescent="0.2">
      <c r="A15" s="20" t="s">
        <v>18</v>
      </c>
      <c r="B15" s="17" t="s">
        <v>53</v>
      </c>
      <c r="C15" s="18">
        <f>SUM('Stavební rozpočet'!AC12:AC66)</f>
        <v>0</v>
      </c>
      <c r="D15" s="115" t="s">
        <v>54</v>
      </c>
      <c r="E15" s="116"/>
      <c r="F15" s="18">
        <f>VORN!I16</f>
        <v>0</v>
      </c>
      <c r="G15" s="115" t="s">
        <v>55</v>
      </c>
      <c r="H15" s="116"/>
      <c r="I15" s="19">
        <f>VORN!I22</f>
        <v>0</v>
      </c>
    </row>
    <row r="16" spans="1:9" ht="16" x14ac:dyDescent="0.2">
      <c r="A16" s="16" t="s">
        <v>56</v>
      </c>
      <c r="B16" s="17" t="s">
        <v>50</v>
      </c>
      <c r="C16" s="18">
        <f>SUM('Stavební rozpočet'!AD12:AD66)</f>
        <v>0</v>
      </c>
      <c r="D16" s="115" t="s">
        <v>57</v>
      </c>
      <c r="E16" s="116"/>
      <c r="F16" s="18">
        <f>VORN!I17</f>
        <v>0</v>
      </c>
      <c r="G16" s="115" t="s">
        <v>58</v>
      </c>
      <c r="H16" s="116"/>
      <c r="I16" s="19">
        <f>VORN!I23</f>
        <v>0</v>
      </c>
    </row>
    <row r="17" spans="1:9" ht="16" x14ac:dyDescent="0.2">
      <c r="A17" s="20" t="s">
        <v>18</v>
      </c>
      <c r="B17" s="17" t="s">
        <v>53</v>
      </c>
      <c r="C17" s="18">
        <f>SUM('Stavební rozpočet'!AE12:AE66)</f>
        <v>0</v>
      </c>
      <c r="D17" s="115" t="s">
        <v>18</v>
      </c>
      <c r="E17" s="116"/>
      <c r="F17" s="19" t="s">
        <v>18</v>
      </c>
      <c r="G17" s="115" t="s">
        <v>59</v>
      </c>
      <c r="H17" s="116"/>
      <c r="I17" s="19">
        <f>VORN!I24</f>
        <v>0</v>
      </c>
    </row>
    <row r="18" spans="1:9" ht="16" x14ac:dyDescent="0.2">
      <c r="A18" s="16" t="s">
        <v>60</v>
      </c>
      <c r="B18" s="17" t="s">
        <v>50</v>
      </c>
      <c r="C18" s="18">
        <f>SUM('Stavební rozpočet'!AF12:AF66)</f>
        <v>0</v>
      </c>
      <c r="D18" s="115" t="s">
        <v>18</v>
      </c>
      <c r="E18" s="116"/>
      <c r="F18" s="19" t="s">
        <v>18</v>
      </c>
      <c r="G18" s="115" t="s">
        <v>61</v>
      </c>
      <c r="H18" s="116"/>
      <c r="I18" s="19">
        <f>VORN!I25</f>
        <v>0</v>
      </c>
    </row>
    <row r="19" spans="1:9" ht="16" x14ac:dyDescent="0.2">
      <c r="A19" s="20" t="s">
        <v>18</v>
      </c>
      <c r="B19" s="17" t="s">
        <v>53</v>
      </c>
      <c r="C19" s="18">
        <f>SUM('Stavební rozpočet'!AG12:AG66)</f>
        <v>0</v>
      </c>
      <c r="D19" s="115" t="s">
        <v>18</v>
      </c>
      <c r="E19" s="116"/>
      <c r="F19" s="19" t="s">
        <v>18</v>
      </c>
      <c r="G19" s="115" t="s">
        <v>62</v>
      </c>
      <c r="H19" s="116"/>
      <c r="I19" s="19">
        <f>VORN!I26</f>
        <v>0</v>
      </c>
    </row>
    <row r="20" spans="1:9" ht="16" x14ac:dyDescent="0.2">
      <c r="A20" s="109" t="s">
        <v>63</v>
      </c>
      <c r="B20" s="110"/>
      <c r="C20" s="18">
        <f>SUM('Stavební rozpočet'!AH12:AH66)</f>
        <v>0</v>
      </c>
      <c r="D20" s="115" t="s">
        <v>18</v>
      </c>
      <c r="E20" s="116"/>
      <c r="F20" s="19" t="s">
        <v>18</v>
      </c>
      <c r="G20" s="115" t="s">
        <v>18</v>
      </c>
      <c r="H20" s="116"/>
      <c r="I20" s="19" t="s">
        <v>18</v>
      </c>
    </row>
    <row r="21" spans="1:9" ht="16" x14ac:dyDescent="0.2">
      <c r="A21" s="111" t="s">
        <v>64</v>
      </c>
      <c r="B21" s="112"/>
      <c r="C21" s="21">
        <f>SUM('Stavební rozpočet'!Z12:Z66)</f>
        <v>0</v>
      </c>
      <c r="D21" s="117" t="s">
        <v>18</v>
      </c>
      <c r="E21" s="118"/>
      <c r="F21" s="22" t="s">
        <v>18</v>
      </c>
      <c r="G21" s="117" t="s">
        <v>18</v>
      </c>
      <c r="H21" s="118"/>
      <c r="I21" s="22" t="s">
        <v>18</v>
      </c>
    </row>
    <row r="22" spans="1:9" ht="16.5" customHeight="1" x14ac:dyDescent="0.2">
      <c r="A22" s="113" t="s">
        <v>65</v>
      </c>
      <c r="B22" s="114"/>
      <c r="C22" s="23">
        <f>ROUND(SUM(C14:C21),2)</f>
        <v>0</v>
      </c>
      <c r="D22" s="119" t="s">
        <v>66</v>
      </c>
      <c r="E22" s="114"/>
      <c r="F22" s="23">
        <f>SUM(F14:F21)</f>
        <v>0</v>
      </c>
      <c r="G22" s="119" t="s">
        <v>67</v>
      </c>
      <c r="H22" s="114"/>
      <c r="I22" s="23">
        <f>SUM(I14:I21)</f>
        <v>0</v>
      </c>
    </row>
    <row r="23" spans="1:9" ht="16" x14ac:dyDescent="0.2">
      <c r="D23" s="109" t="s">
        <v>68</v>
      </c>
      <c r="E23" s="110"/>
      <c r="F23" s="24">
        <v>0</v>
      </c>
      <c r="G23" s="120" t="s">
        <v>69</v>
      </c>
      <c r="H23" s="110"/>
      <c r="I23" s="18">
        <v>0</v>
      </c>
    </row>
    <row r="24" spans="1:9" ht="16" x14ac:dyDescent="0.2">
      <c r="G24" s="109" t="s">
        <v>70</v>
      </c>
      <c r="H24" s="110"/>
      <c r="I24" s="21">
        <f>vorn_sum</f>
        <v>0</v>
      </c>
    </row>
    <row r="25" spans="1:9" ht="16" x14ac:dyDescent="0.2">
      <c r="G25" s="109" t="s">
        <v>71</v>
      </c>
      <c r="H25" s="110"/>
      <c r="I25" s="23">
        <v>0</v>
      </c>
    </row>
    <row r="27" spans="1:9" ht="16" x14ac:dyDescent="0.2">
      <c r="A27" s="121" t="s">
        <v>72</v>
      </c>
      <c r="B27" s="122"/>
      <c r="C27" s="25">
        <f>ROUND(SUM('Stavební rozpočet'!AJ12:AJ66),2)</f>
        <v>0</v>
      </c>
    </row>
    <row r="28" spans="1:9" ht="16" x14ac:dyDescent="0.2">
      <c r="A28" s="123" t="s">
        <v>73</v>
      </c>
      <c r="B28" s="124"/>
      <c r="C28" s="26">
        <f>ROUND(SUM('Stavební rozpočet'!AK12:AK66),2)</f>
        <v>0</v>
      </c>
      <c r="D28" s="125" t="s">
        <v>74</v>
      </c>
      <c r="E28" s="122"/>
      <c r="F28" s="25">
        <f>ROUND(C28*(12/100),2)</f>
        <v>0</v>
      </c>
      <c r="G28" s="125" t="s">
        <v>75</v>
      </c>
      <c r="H28" s="122"/>
      <c r="I28" s="25">
        <f>ROUND(SUM(C27:C29),2)</f>
        <v>0</v>
      </c>
    </row>
    <row r="29" spans="1:9" ht="16" x14ac:dyDescent="0.2">
      <c r="A29" s="123" t="s">
        <v>76</v>
      </c>
      <c r="B29" s="124"/>
      <c r="C29" s="26">
        <f>ROUND(SUM('Stavební rozpočet'!AL12:AL66)+(F22+I22+F23+I23+I24+I25),2)</f>
        <v>0</v>
      </c>
      <c r="D29" s="126" t="s">
        <v>77</v>
      </c>
      <c r="E29" s="124"/>
      <c r="F29" s="26">
        <f>ROUND(C29*(21/100),2)</f>
        <v>0</v>
      </c>
      <c r="G29" s="126" t="s">
        <v>78</v>
      </c>
      <c r="H29" s="124"/>
      <c r="I29" s="26">
        <f>ROUND(SUM(F28:F29)+I28,2)</f>
        <v>0</v>
      </c>
    </row>
    <row r="31" spans="1:9" ht="16" x14ac:dyDescent="0.2">
      <c r="A31" s="136" t="s">
        <v>79</v>
      </c>
      <c r="B31" s="128"/>
      <c r="C31" s="129"/>
      <c r="D31" s="127" t="s">
        <v>80</v>
      </c>
      <c r="E31" s="128"/>
      <c r="F31" s="129"/>
      <c r="G31" s="127" t="s">
        <v>81</v>
      </c>
      <c r="H31" s="128"/>
      <c r="I31" s="129"/>
    </row>
    <row r="32" spans="1:9" ht="16" x14ac:dyDescent="0.2">
      <c r="A32" s="137" t="s">
        <v>18</v>
      </c>
      <c r="B32" s="131"/>
      <c r="C32" s="132"/>
      <c r="D32" s="130" t="s">
        <v>18</v>
      </c>
      <c r="E32" s="131"/>
      <c r="F32" s="132"/>
      <c r="G32" s="130" t="s">
        <v>18</v>
      </c>
      <c r="H32" s="131"/>
      <c r="I32" s="132"/>
    </row>
    <row r="33" spans="1:9" ht="16" x14ac:dyDescent="0.2">
      <c r="A33" s="137" t="s">
        <v>18</v>
      </c>
      <c r="B33" s="131"/>
      <c r="C33" s="132"/>
      <c r="D33" s="130" t="s">
        <v>18</v>
      </c>
      <c r="E33" s="131"/>
      <c r="F33" s="132"/>
      <c r="G33" s="130" t="s">
        <v>18</v>
      </c>
      <c r="H33" s="131"/>
      <c r="I33" s="132"/>
    </row>
    <row r="34" spans="1:9" ht="16" x14ac:dyDescent="0.2">
      <c r="A34" s="137" t="s">
        <v>18</v>
      </c>
      <c r="B34" s="131"/>
      <c r="C34" s="132"/>
      <c r="D34" s="130" t="s">
        <v>18</v>
      </c>
      <c r="E34" s="131"/>
      <c r="F34" s="132"/>
      <c r="G34" s="130" t="s">
        <v>18</v>
      </c>
      <c r="H34" s="131"/>
      <c r="I34" s="132"/>
    </row>
    <row r="35" spans="1:9" ht="16" x14ac:dyDescent="0.2">
      <c r="A35" s="138" t="s">
        <v>82</v>
      </c>
      <c r="B35" s="134"/>
      <c r="C35" s="135"/>
      <c r="D35" s="133" t="s">
        <v>82</v>
      </c>
      <c r="E35" s="134"/>
      <c r="F35" s="135"/>
      <c r="G35" s="133" t="s">
        <v>82</v>
      </c>
      <c r="H35" s="134"/>
      <c r="I35" s="135"/>
    </row>
    <row r="36" spans="1:9" x14ac:dyDescent="0.2">
      <c r="A36" s="27" t="s">
        <v>83</v>
      </c>
    </row>
    <row r="37" spans="1:9" ht="12.75" customHeight="1" x14ac:dyDescent="0.2">
      <c r="A37" s="92" t="s">
        <v>18</v>
      </c>
      <c r="B37" s="86"/>
      <c r="C37" s="86"/>
      <c r="D37" s="86"/>
      <c r="E37" s="86"/>
      <c r="F37" s="86"/>
      <c r="G37" s="86"/>
      <c r="H37" s="86"/>
      <c r="I37" s="86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baseColWidth="10" defaultColWidth="12.1640625" defaultRowHeight="15" customHeight="1" x14ac:dyDescent="0.2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7.1640625" customWidth="1"/>
    <col min="9" max="9" width="22.83203125" customWidth="1"/>
  </cols>
  <sheetData>
    <row r="1" spans="1:9" ht="54.75" customHeight="1" x14ac:dyDescent="0.2">
      <c r="A1" s="99" t="s">
        <v>84</v>
      </c>
      <c r="B1" s="82"/>
      <c r="C1" s="82"/>
      <c r="D1" s="82"/>
      <c r="E1" s="82"/>
      <c r="F1" s="82"/>
      <c r="G1" s="82"/>
      <c r="H1" s="82"/>
      <c r="I1" s="82"/>
    </row>
    <row r="2" spans="1:9" x14ac:dyDescent="0.2">
      <c r="A2" s="83" t="s">
        <v>1</v>
      </c>
      <c r="B2" s="84"/>
      <c r="C2" s="93" t="str">
        <f>'Stavební rozpočet'!D2</f>
        <v>24117 Bruntál, oprava ul. Wolkerova</v>
      </c>
      <c r="D2" s="103"/>
      <c r="E2" s="91" t="s">
        <v>4</v>
      </c>
      <c r="F2" s="91" t="str">
        <f>'Stavební rozpočet'!J2</f>
        <v>Město Bruntál</v>
      </c>
      <c r="G2" s="84"/>
      <c r="H2" s="91" t="s">
        <v>38</v>
      </c>
      <c r="I2" s="139" t="s">
        <v>18</v>
      </c>
    </row>
    <row r="3" spans="1:9" ht="15" customHeight="1" x14ac:dyDescent="0.2">
      <c r="A3" s="85"/>
      <c r="B3" s="86"/>
      <c r="C3" s="94"/>
      <c r="D3" s="94"/>
      <c r="E3" s="86"/>
      <c r="F3" s="86"/>
      <c r="G3" s="86"/>
      <c r="H3" s="86"/>
      <c r="I3" s="96"/>
    </row>
    <row r="4" spans="1:9" x14ac:dyDescent="0.2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38</v>
      </c>
      <c r="I4" s="96" t="s">
        <v>18</v>
      </c>
    </row>
    <row r="5" spans="1:9" ht="15" customHeight="1" x14ac:dyDescent="0.2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38</v>
      </c>
      <c r="I6" s="96" t="s">
        <v>18</v>
      </c>
    </row>
    <row r="7" spans="1:9" ht="15" customHeight="1" x14ac:dyDescent="0.2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">
      <c r="A8" s="87" t="s">
        <v>6</v>
      </c>
      <c r="B8" s="86"/>
      <c r="C8" s="92">
        <f>'Stavební rozpočet'!H4</f>
        <v>0</v>
      </c>
      <c r="D8" s="86"/>
      <c r="E8" s="92" t="s">
        <v>10</v>
      </c>
      <c r="F8" s="92" t="str">
        <f>'Stavební rozpočet'!H6</f>
        <v xml:space="preserve"> </v>
      </c>
      <c r="G8" s="86"/>
      <c r="H8" s="86" t="s">
        <v>39</v>
      </c>
      <c r="I8" s="102">
        <v>29</v>
      </c>
    </row>
    <row r="9" spans="1:9" x14ac:dyDescent="0.2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">
      <c r="A10" s="87" t="s">
        <v>40</v>
      </c>
      <c r="B10" s="86"/>
      <c r="C10" s="92" t="str">
        <f>'Stavební rozpočet'!D8</f>
        <v xml:space="preserve"> </v>
      </c>
      <c r="D10" s="86"/>
      <c r="E10" s="92" t="s">
        <v>12</v>
      </c>
      <c r="F10" s="92" t="str">
        <f>'Stavební rozpočet'!J8</f>
        <v>M. Petrů</v>
      </c>
      <c r="G10" s="86"/>
      <c r="H10" s="86" t="s">
        <v>41</v>
      </c>
      <c r="I10" s="97" t="str">
        <f>'Stavební rozpočet'!H8</f>
        <v>05.08.2024</v>
      </c>
    </row>
    <row r="11" spans="1:9" x14ac:dyDescent="0.2">
      <c r="A11" s="108"/>
      <c r="B11" s="90"/>
      <c r="C11" s="90"/>
      <c r="D11" s="90"/>
      <c r="E11" s="90"/>
      <c r="F11" s="90"/>
      <c r="G11" s="90"/>
      <c r="H11" s="90"/>
      <c r="I11" s="104"/>
    </row>
    <row r="13" spans="1:9" ht="16" x14ac:dyDescent="0.2">
      <c r="A13" s="140" t="s">
        <v>85</v>
      </c>
      <c r="B13" s="140"/>
      <c r="C13" s="140"/>
      <c r="D13" s="140"/>
      <c r="E13" s="140"/>
    </row>
    <row r="14" spans="1:9" x14ac:dyDescent="0.2">
      <c r="A14" s="141" t="s">
        <v>86</v>
      </c>
      <c r="B14" s="142"/>
      <c r="C14" s="142"/>
      <c r="D14" s="142"/>
      <c r="E14" s="143"/>
      <c r="F14" s="28" t="s">
        <v>87</v>
      </c>
      <c r="G14" s="28" t="s">
        <v>88</v>
      </c>
      <c r="H14" s="28" t="s">
        <v>89</v>
      </c>
      <c r="I14" s="28" t="s">
        <v>87</v>
      </c>
    </row>
    <row r="15" spans="1:9" x14ac:dyDescent="0.2">
      <c r="A15" s="144" t="s">
        <v>51</v>
      </c>
      <c r="B15" s="145"/>
      <c r="C15" s="145"/>
      <c r="D15" s="145"/>
      <c r="E15" s="146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">
      <c r="A16" s="144" t="s">
        <v>54</v>
      </c>
      <c r="B16" s="145"/>
      <c r="C16" s="145"/>
      <c r="D16" s="145"/>
      <c r="E16" s="146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">
      <c r="A17" s="147" t="s">
        <v>57</v>
      </c>
      <c r="B17" s="148"/>
      <c r="C17" s="148"/>
      <c r="D17" s="148"/>
      <c r="E17" s="149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">
      <c r="A18" s="150" t="s">
        <v>90</v>
      </c>
      <c r="B18" s="151"/>
      <c r="C18" s="151"/>
      <c r="D18" s="151"/>
      <c r="E18" s="152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">
      <c r="A20" s="141" t="s">
        <v>48</v>
      </c>
      <c r="B20" s="142"/>
      <c r="C20" s="142"/>
      <c r="D20" s="142"/>
      <c r="E20" s="143"/>
      <c r="F20" s="28" t="s">
        <v>87</v>
      </c>
      <c r="G20" s="28" t="s">
        <v>88</v>
      </c>
      <c r="H20" s="28" t="s">
        <v>89</v>
      </c>
      <c r="I20" s="28" t="s">
        <v>87</v>
      </c>
    </row>
    <row r="21" spans="1:9" x14ac:dyDescent="0.2">
      <c r="A21" s="144" t="s">
        <v>52</v>
      </c>
      <c r="B21" s="145"/>
      <c r="C21" s="145"/>
      <c r="D21" s="145"/>
      <c r="E21" s="146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">
      <c r="A22" s="144" t="s">
        <v>55</v>
      </c>
      <c r="B22" s="145"/>
      <c r="C22" s="145"/>
      <c r="D22" s="145"/>
      <c r="E22" s="146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">
      <c r="A23" s="144" t="s">
        <v>58</v>
      </c>
      <c r="B23" s="145"/>
      <c r="C23" s="145"/>
      <c r="D23" s="145"/>
      <c r="E23" s="146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">
      <c r="A24" s="144" t="s">
        <v>59</v>
      </c>
      <c r="B24" s="145"/>
      <c r="C24" s="145"/>
      <c r="D24" s="145"/>
      <c r="E24" s="146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">
      <c r="A25" s="144" t="s">
        <v>61</v>
      </c>
      <c r="B25" s="145"/>
      <c r="C25" s="145"/>
      <c r="D25" s="145"/>
      <c r="E25" s="146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">
      <c r="A26" s="147" t="s">
        <v>62</v>
      </c>
      <c r="B26" s="148"/>
      <c r="C26" s="148"/>
      <c r="D26" s="148"/>
      <c r="E26" s="149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">
      <c r="A27" s="150" t="s">
        <v>91</v>
      </c>
      <c r="B27" s="151"/>
      <c r="C27" s="151"/>
      <c r="D27" s="151"/>
      <c r="E27" s="152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6" x14ac:dyDescent="0.2">
      <c r="A29" s="153" t="s">
        <v>92</v>
      </c>
      <c r="B29" s="154"/>
      <c r="C29" s="154"/>
      <c r="D29" s="154"/>
      <c r="E29" s="155"/>
      <c r="F29" s="156">
        <f>I18+I27</f>
        <v>0</v>
      </c>
      <c r="G29" s="157"/>
      <c r="H29" s="157"/>
      <c r="I29" s="158"/>
    </row>
    <row r="33" spans="1:9" ht="16" x14ac:dyDescent="0.2">
      <c r="A33" s="140" t="s">
        <v>93</v>
      </c>
      <c r="B33" s="140"/>
      <c r="C33" s="140"/>
      <c r="D33" s="140"/>
      <c r="E33" s="140"/>
    </row>
    <row r="34" spans="1:9" x14ac:dyDescent="0.2">
      <c r="A34" s="141" t="s">
        <v>94</v>
      </c>
      <c r="B34" s="142"/>
      <c r="C34" s="142"/>
      <c r="D34" s="142"/>
      <c r="E34" s="143"/>
      <c r="F34" s="28" t="s">
        <v>87</v>
      </c>
      <c r="G34" s="28" t="s">
        <v>88</v>
      </c>
      <c r="H34" s="28" t="s">
        <v>89</v>
      </c>
      <c r="I34" s="28" t="s">
        <v>87</v>
      </c>
    </row>
    <row r="35" spans="1:9" x14ac:dyDescent="0.2">
      <c r="A35" s="147" t="s">
        <v>18</v>
      </c>
      <c r="B35" s="148"/>
      <c r="C35" s="148"/>
      <c r="D35" s="148"/>
      <c r="E35" s="149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">
      <c r="A36" s="150" t="s">
        <v>95</v>
      </c>
      <c r="B36" s="151"/>
      <c r="C36" s="151"/>
      <c r="D36" s="151"/>
      <c r="E36" s="152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68"/>
  <sheetViews>
    <sheetView tabSelected="1" workbookViewId="0">
      <pane ySplit="11" topLeftCell="A12" activePane="bottomLeft" state="frozen"/>
      <selection pane="bottomLeft" activeCell="J9" sqref="J9"/>
    </sheetView>
  </sheetViews>
  <sheetFormatPr baseColWidth="10" defaultColWidth="12.1640625" defaultRowHeight="15" customHeight="1" x14ac:dyDescent="0.2"/>
  <cols>
    <col min="1" max="1" width="3.1640625" customWidth="1"/>
    <col min="2" max="2" width="7.5" customWidth="1"/>
    <col min="3" max="3" width="17.83203125" customWidth="1"/>
    <col min="4" max="4" width="39.6640625" customWidth="1"/>
    <col min="5" max="5" width="17.5" customWidth="1"/>
    <col min="6" max="6" width="4.33203125" customWidth="1"/>
    <col min="7" max="7" width="12.83203125" customWidth="1"/>
    <col min="8" max="8" width="12" style="61" customWidth="1"/>
    <col min="9" max="9" width="15.6640625" style="61" customWidth="1"/>
    <col min="10" max="10" width="12.1640625" style="61"/>
    <col min="25" max="75" width="12.1640625" hidden="1"/>
    <col min="76" max="76" width="57.33203125" hidden="1" customWidth="1"/>
    <col min="77" max="78" width="12.1640625" hidden="1"/>
  </cols>
  <sheetData>
    <row r="1" spans="1:76" ht="54.75" customHeight="1" x14ac:dyDescent="0.2">
      <c r="A1" s="159" t="s">
        <v>96</v>
      </c>
      <c r="B1" s="159"/>
      <c r="C1" s="159"/>
      <c r="D1" s="159"/>
      <c r="E1" s="159"/>
      <c r="F1" s="159"/>
      <c r="G1" s="159"/>
      <c r="H1" s="77"/>
      <c r="I1" s="77"/>
      <c r="J1" s="77"/>
      <c r="K1" s="73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">
      <c r="A2" s="83" t="s">
        <v>1</v>
      </c>
      <c r="B2" s="84"/>
      <c r="C2" s="84"/>
      <c r="D2" s="93" t="s">
        <v>97</v>
      </c>
      <c r="E2" s="103"/>
      <c r="F2" s="84" t="s">
        <v>2</v>
      </c>
      <c r="G2" s="84"/>
      <c r="H2" s="166" t="s">
        <v>3</v>
      </c>
      <c r="I2" s="160" t="s">
        <v>4</v>
      </c>
      <c r="J2" s="78" t="s">
        <v>244</v>
      </c>
      <c r="K2" s="74"/>
    </row>
    <row r="3" spans="1:76" x14ac:dyDescent="0.2">
      <c r="A3" s="85"/>
      <c r="B3" s="86"/>
      <c r="C3" s="86"/>
      <c r="D3" s="94"/>
      <c r="E3" s="94"/>
      <c r="F3" s="86"/>
      <c r="G3" s="86"/>
      <c r="H3" s="161"/>
      <c r="I3" s="161"/>
      <c r="J3" s="79" t="s">
        <v>243</v>
      </c>
      <c r="K3" s="75"/>
    </row>
    <row r="4" spans="1:76" x14ac:dyDescent="0.2">
      <c r="A4" s="87" t="s">
        <v>5</v>
      </c>
      <c r="B4" s="86"/>
      <c r="C4" s="86"/>
      <c r="D4" s="92" t="s">
        <v>3</v>
      </c>
      <c r="E4" s="86"/>
      <c r="F4" s="86" t="s">
        <v>6</v>
      </c>
      <c r="G4" s="86"/>
      <c r="H4" s="161"/>
      <c r="I4" s="162" t="s">
        <v>8</v>
      </c>
      <c r="J4" s="79" t="s">
        <v>98</v>
      </c>
      <c r="K4" s="75"/>
    </row>
    <row r="5" spans="1:76" x14ac:dyDescent="0.2">
      <c r="A5" s="85"/>
      <c r="B5" s="86"/>
      <c r="C5" s="86"/>
      <c r="D5" s="86"/>
      <c r="E5" s="86"/>
      <c r="F5" s="86"/>
      <c r="G5" s="86"/>
      <c r="H5" s="161"/>
      <c r="I5" s="161"/>
      <c r="J5" s="79"/>
      <c r="K5" s="75"/>
    </row>
    <row r="6" spans="1:76" x14ac:dyDescent="0.2">
      <c r="A6" s="87" t="s">
        <v>9</v>
      </c>
      <c r="B6" s="86"/>
      <c r="C6" s="86"/>
      <c r="D6" s="92" t="s">
        <v>3</v>
      </c>
      <c r="E6" s="86"/>
      <c r="F6" s="86" t="s">
        <v>10</v>
      </c>
      <c r="G6" s="86"/>
      <c r="H6" s="161" t="s">
        <v>3</v>
      </c>
      <c r="I6" s="162" t="s">
        <v>11</v>
      </c>
      <c r="J6" s="79" t="s">
        <v>98</v>
      </c>
      <c r="K6" s="75"/>
    </row>
    <row r="7" spans="1:76" x14ac:dyDescent="0.2">
      <c r="A7" s="85"/>
      <c r="B7" s="86"/>
      <c r="C7" s="86"/>
      <c r="D7" s="86"/>
      <c r="E7" s="86"/>
      <c r="F7" s="86"/>
      <c r="G7" s="86"/>
      <c r="H7" s="161"/>
      <c r="I7" s="161"/>
      <c r="J7" s="79"/>
      <c r="K7" s="75"/>
    </row>
    <row r="8" spans="1:76" x14ac:dyDescent="0.2">
      <c r="A8" s="87" t="s">
        <v>40</v>
      </c>
      <c r="B8" s="86"/>
      <c r="C8" s="86"/>
      <c r="D8" s="92" t="s">
        <v>3</v>
      </c>
      <c r="E8" s="86"/>
      <c r="F8" s="86" t="s">
        <v>13</v>
      </c>
      <c r="G8" s="86"/>
      <c r="H8" s="161" t="s">
        <v>7</v>
      </c>
      <c r="I8" s="162" t="s">
        <v>12</v>
      </c>
      <c r="J8" s="79" t="s">
        <v>246</v>
      </c>
      <c r="K8" s="75"/>
    </row>
    <row r="9" spans="1:76" x14ac:dyDescent="0.2">
      <c r="A9" s="88"/>
      <c r="B9" s="89"/>
      <c r="C9" s="89"/>
      <c r="D9" s="89"/>
      <c r="E9" s="89"/>
      <c r="F9" s="89"/>
      <c r="G9" s="89"/>
      <c r="H9" s="163"/>
      <c r="I9" s="163"/>
      <c r="J9" s="80"/>
      <c r="K9" s="76"/>
    </row>
    <row r="10" spans="1:76" x14ac:dyDescent="0.2">
      <c r="A10" s="37" t="s">
        <v>99</v>
      </c>
      <c r="B10" s="38" t="s">
        <v>14</v>
      </c>
      <c r="C10" s="38" t="s">
        <v>15</v>
      </c>
      <c r="D10" s="164" t="s">
        <v>16</v>
      </c>
      <c r="E10" s="165"/>
      <c r="F10" s="38" t="s">
        <v>100</v>
      </c>
      <c r="G10" s="39" t="s">
        <v>101</v>
      </c>
      <c r="H10" s="63" t="s">
        <v>102</v>
      </c>
      <c r="I10" s="64" t="s">
        <v>103</v>
      </c>
      <c r="K10" s="40"/>
      <c r="BK10" s="41" t="s">
        <v>104</v>
      </c>
      <c r="BL10" s="42" t="s">
        <v>105</v>
      </c>
      <c r="BW10" s="42" t="s">
        <v>106</v>
      </c>
    </row>
    <row r="11" spans="1:76" x14ac:dyDescent="0.2">
      <c r="A11" s="43" t="s">
        <v>3</v>
      </c>
      <c r="B11" s="44" t="s">
        <v>3</v>
      </c>
      <c r="C11" s="44" t="s">
        <v>3</v>
      </c>
      <c r="D11" s="167" t="s">
        <v>107</v>
      </c>
      <c r="E11" s="168"/>
      <c r="F11" s="44" t="s">
        <v>3</v>
      </c>
      <c r="G11" s="44" t="s">
        <v>3</v>
      </c>
      <c r="H11" s="65" t="s">
        <v>108</v>
      </c>
      <c r="I11" s="66" t="s">
        <v>109</v>
      </c>
      <c r="K11" s="45"/>
      <c r="Z11" s="41" t="s">
        <v>110</v>
      </c>
      <c r="AA11" s="41" t="s">
        <v>111</v>
      </c>
      <c r="AB11" s="41" t="s">
        <v>112</v>
      </c>
      <c r="AC11" s="41" t="s">
        <v>113</v>
      </c>
      <c r="AD11" s="41" t="s">
        <v>114</v>
      </c>
      <c r="AE11" s="41" t="s">
        <v>115</v>
      </c>
      <c r="AF11" s="41" t="s">
        <v>116</v>
      </c>
      <c r="AG11" s="41" t="s">
        <v>117</v>
      </c>
      <c r="AH11" s="41" t="s">
        <v>118</v>
      </c>
      <c r="BH11" s="41" t="s">
        <v>119</v>
      </c>
      <c r="BI11" s="41" t="s">
        <v>120</v>
      </c>
      <c r="BJ11" s="41" t="s">
        <v>121</v>
      </c>
    </row>
    <row r="12" spans="1:76" x14ac:dyDescent="0.2">
      <c r="A12" s="46" t="s">
        <v>18</v>
      </c>
      <c r="B12" s="59" t="s">
        <v>18</v>
      </c>
      <c r="C12" s="59" t="s">
        <v>19</v>
      </c>
      <c r="D12" s="169" t="s">
        <v>20</v>
      </c>
      <c r="E12" s="170"/>
      <c r="F12" s="47" t="s">
        <v>3</v>
      </c>
      <c r="G12" s="47" t="s">
        <v>3</v>
      </c>
      <c r="H12" s="67" t="s">
        <v>3</v>
      </c>
      <c r="I12" s="68">
        <f>SUM(I13:I18)</f>
        <v>0</v>
      </c>
      <c r="K12" s="45"/>
      <c r="AI12" s="41" t="s">
        <v>18</v>
      </c>
      <c r="AS12" s="36">
        <f>SUM(AJ13:AJ18)</f>
        <v>0</v>
      </c>
      <c r="AT12" s="36">
        <f>SUM(AK13:AK18)</f>
        <v>0</v>
      </c>
      <c r="AU12" s="36">
        <f>SUM(AL13:AL18)</f>
        <v>0</v>
      </c>
    </row>
    <row r="13" spans="1:76" x14ac:dyDescent="0.2">
      <c r="A13" s="1" t="s">
        <v>122</v>
      </c>
      <c r="B13" s="2" t="s">
        <v>18</v>
      </c>
      <c r="C13" s="2" t="s">
        <v>123</v>
      </c>
      <c r="D13" s="92" t="s">
        <v>124</v>
      </c>
      <c r="E13" s="86"/>
      <c r="F13" s="2" t="s">
        <v>125</v>
      </c>
      <c r="G13" s="12">
        <v>1</v>
      </c>
      <c r="H13" s="69">
        <v>0</v>
      </c>
      <c r="I13" s="69">
        <f t="shared" ref="I13:I18" si="0">ROUND(G13*H13,2)</f>
        <v>0</v>
      </c>
      <c r="K13" s="45"/>
      <c r="Z13" s="12">
        <f t="shared" ref="Z13:Z18" si="1">ROUND(IF(AQ13="5",BJ13,0),2)</f>
        <v>0</v>
      </c>
      <c r="AB13" s="12">
        <f t="shared" ref="AB13:AB18" si="2">ROUND(IF(AQ13="1",BH13,0),2)</f>
        <v>0</v>
      </c>
      <c r="AC13" s="12">
        <f t="shared" ref="AC13:AC18" si="3">ROUND(IF(AQ13="1",BI13,0),2)</f>
        <v>0</v>
      </c>
      <c r="AD13" s="12">
        <f t="shared" ref="AD13:AD18" si="4">ROUND(IF(AQ13="7",BH13,0),2)</f>
        <v>0</v>
      </c>
      <c r="AE13" s="12">
        <f t="shared" ref="AE13:AE18" si="5">ROUND(IF(AQ13="7",BI13,0),2)</f>
        <v>0</v>
      </c>
      <c r="AF13" s="12">
        <f t="shared" ref="AF13:AF18" si="6">ROUND(IF(AQ13="2",BH13,0),2)</f>
        <v>0</v>
      </c>
      <c r="AG13" s="12">
        <f t="shared" ref="AG13:AG18" si="7">ROUND(IF(AQ13="2",BI13,0),2)</f>
        <v>0</v>
      </c>
      <c r="AH13" s="12">
        <f t="shared" ref="AH13:AH18" si="8">ROUND(IF(AQ13="0",BJ13,0),2)</f>
        <v>0</v>
      </c>
      <c r="AI13" s="41" t="s">
        <v>18</v>
      </c>
      <c r="AJ13" s="12">
        <f t="shared" ref="AJ13:AJ18" si="9">IF(AN13=0,I13,0)</f>
        <v>0</v>
      </c>
      <c r="AK13" s="12">
        <f t="shared" ref="AK13:AK18" si="10">IF(AN13=12,I13,0)</f>
        <v>0</v>
      </c>
      <c r="AL13" s="12">
        <f t="shared" ref="AL13:AL18" si="11">IF(AN13=21,I13,0)</f>
        <v>0</v>
      </c>
      <c r="AN13" s="12">
        <v>21</v>
      </c>
      <c r="AO13" s="12">
        <f t="shared" ref="AO13:AO18" si="12">H13*0</f>
        <v>0</v>
      </c>
      <c r="AP13" s="12">
        <f t="shared" ref="AP13:AP18" si="13">H13*(1-0)</f>
        <v>0</v>
      </c>
      <c r="AQ13" s="11" t="s">
        <v>122</v>
      </c>
      <c r="AV13" s="12">
        <f t="shared" ref="AV13:AV18" si="14">ROUND(AW13+AX13,2)</f>
        <v>0</v>
      </c>
      <c r="AW13" s="12">
        <f t="shared" ref="AW13:AW18" si="15">ROUND(G13*AO13,2)</f>
        <v>0</v>
      </c>
      <c r="AX13" s="12">
        <f t="shared" ref="AX13:AX18" si="16">ROUND(G13*AP13,2)</f>
        <v>0</v>
      </c>
      <c r="AY13" s="11" t="s">
        <v>126</v>
      </c>
      <c r="AZ13" s="11" t="s">
        <v>127</v>
      </c>
      <c r="BA13" s="41" t="s">
        <v>128</v>
      </c>
      <c r="BC13" s="12">
        <f t="shared" ref="BC13:BC18" si="17">AW13+AX13</f>
        <v>0</v>
      </c>
      <c r="BD13" s="12">
        <f t="shared" ref="BD13:BD18" si="18">H13/(100-BE13)*100</f>
        <v>0</v>
      </c>
      <c r="BE13" s="12">
        <v>0</v>
      </c>
      <c r="BF13" s="12">
        <f>13</f>
        <v>13</v>
      </c>
      <c r="BH13" s="12">
        <f t="shared" ref="BH13:BH18" si="19">G13*AO13</f>
        <v>0</v>
      </c>
      <c r="BI13" s="12">
        <f t="shared" ref="BI13:BI18" si="20">G13*AP13</f>
        <v>0</v>
      </c>
      <c r="BJ13" s="12">
        <f t="shared" ref="BJ13:BJ18" si="21">G13*H13</f>
        <v>0</v>
      </c>
      <c r="BK13" s="12"/>
      <c r="BL13" s="12">
        <v>123</v>
      </c>
      <c r="BW13" s="12">
        <v>21</v>
      </c>
      <c r="BX13" s="57" t="s">
        <v>124</v>
      </c>
    </row>
    <row r="14" spans="1:76" x14ac:dyDescent="0.2">
      <c r="A14" s="1" t="s">
        <v>129</v>
      </c>
      <c r="B14" s="2" t="s">
        <v>18</v>
      </c>
      <c r="C14" s="2" t="s">
        <v>130</v>
      </c>
      <c r="D14" s="92" t="s">
        <v>131</v>
      </c>
      <c r="E14" s="86"/>
      <c r="F14" s="2" t="s">
        <v>125</v>
      </c>
      <c r="G14" s="12">
        <v>1</v>
      </c>
      <c r="H14" s="69">
        <v>0</v>
      </c>
      <c r="I14" s="69">
        <f t="shared" si="0"/>
        <v>0</v>
      </c>
      <c r="K14" s="45"/>
      <c r="Z14" s="12">
        <f t="shared" si="1"/>
        <v>0</v>
      </c>
      <c r="AB14" s="12">
        <f t="shared" si="2"/>
        <v>0</v>
      </c>
      <c r="AC14" s="12">
        <f t="shared" si="3"/>
        <v>0</v>
      </c>
      <c r="AD14" s="12">
        <f t="shared" si="4"/>
        <v>0</v>
      </c>
      <c r="AE14" s="12">
        <f t="shared" si="5"/>
        <v>0</v>
      </c>
      <c r="AF14" s="12">
        <f t="shared" si="6"/>
        <v>0</v>
      </c>
      <c r="AG14" s="12">
        <f t="shared" si="7"/>
        <v>0</v>
      </c>
      <c r="AH14" s="12">
        <f t="shared" si="8"/>
        <v>0</v>
      </c>
      <c r="AI14" s="41" t="s">
        <v>18</v>
      </c>
      <c r="AJ14" s="12">
        <f t="shared" si="9"/>
        <v>0</v>
      </c>
      <c r="AK14" s="12">
        <f t="shared" si="10"/>
        <v>0</v>
      </c>
      <c r="AL14" s="12">
        <f t="shared" si="11"/>
        <v>0</v>
      </c>
      <c r="AN14" s="12">
        <v>21</v>
      </c>
      <c r="AO14" s="12">
        <f t="shared" si="12"/>
        <v>0</v>
      </c>
      <c r="AP14" s="12">
        <f t="shared" si="13"/>
        <v>0</v>
      </c>
      <c r="AQ14" s="11" t="s">
        <v>122</v>
      </c>
      <c r="AV14" s="12">
        <f t="shared" si="14"/>
        <v>0</v>
      </c>
      <c r="AW14" s="12">
        <f t="shared" si="15"/>
        <v>0</v>
      </c>
      <c r="AX14" s="12">
        <f t="shared" si="16"/>
        <v>0</v>
      </c>
      <c r="AY14" s="11" t="s">
        <v>126</v>
      </c>
      <c r="AZ14" s="11" t="s">
        <v>127</v>
      </c>
      <c r="BA14" s="41" t="s">
        <v>128</v>
      </c>
      <c r="BC14" s="12">
        <f t="shared" si="17"/>
        <v>0</v>
      </c>
      <c r="BD14" s="12">
        <f t="shared" si="18"/>
        <v>0</v>
      </c>
      <c r="BE14" s="12">
        <v>0</v>
      </c>
      <c r="BF14" s="12">
        <f>14</f>
        <v>14</v>
      </c>
      <c r="BH14" s="12">
        <f t="shared" si="19"/>
        <v>0</v>
      </c>
      <c r="BI14" s="12">
        <f t="shared" si="20"/>
        <v>0</v>
      </c>
      <c r="BJ14" s="12">
        <f t="shared" si="21"/>
        <v>0</v>
      </c>
      <c r="BK14" s="12"/>
      <c r="BL14" s="12">
        <v>123</v>
      </c>
      <c r="BW14" s="12">
        <v>21</v>
      </c>
      <c r="BX14" s="57" t="s">
        <v>131</v>
      </c>
    </row>
    <row r="15" spans="1:76" x14ac:dyDescent="0.2">
      <c r="A15" s="1" t="s">
        <v>132</v>
      </c>
      <c r="B15" s="2" t="s">
        <v>18</v>
      </c>
      <c r="C15" s="2" t="s">
        <v>133</v>
      </c>
      <c r="D15" s="92" t="s">
        <v>134</v>
      </c>
      <c r="E15" s="86"/>
      <c r="F15" s="2" t="s">
        <v>125</v>
      </c>
      <c r="G15" s="12">
        <v>1</v>
      </c>
      <c r="H15" s="69">
        <v>0</v>
      </c>
      <c r="I15" s="69">
        <f t="shared" si="0"/>
        <v>0</v>
      </c>
      <c r="K15" s="45"/>
      <c r="Z15" s="12">
        <f t="shared" si="1"/>
        <v>0</v>
      </c>
      <c r="AB15" s="12">
        <f t="shared" si="2"/>
        <v>0</v>
      </c>
      <c r="AC15" s="12">
        <f t="shared" si="3"/>
        <v>0</v>
      </c>
      <c r="AD15" s="12">
        <f t="shared" si="4"/>
        <v>0</v>
      </c>
      <c r="AE15" s="12">
        <f t="shared" si="5"/>
        <v>0</v>
      </c>
      <c r="AF15" s="12">
        <f t="shared" si="6"/>
        <v>0</v>
      </c>
      <c r="AG15" s="12">
        <f t="shared" si="7"/>
        <v>0</v>
      </c>
      <c r="AH15" s="12">
        <f t="shared" si="8"/>
        <v>0</v>
      </c>
      <c r="AI15" s="41" t="s">
        <v>18</v>
      </c>
      <c r="AJ15" s="12">
        <f t="shared" si="9"/>
        <v>0</v>
      </c>
      <c r="AK15" s="12">
        <f t="shared" si="10"/>
        <v>0</v>
      </c>
      <c r="AL15" s="12">
        <f t="shared" si="11"/>
        <v>0</v>
      </c>
      <c r="AN15" s="12">
        <v>21</v>
      </c>
      <c r="AO15" s="12">
        <f t="shared" si="12"/>
        <v>0</v>
      </c>
      <c r="AP15" s="12">
        <f t="shared" si="13"/>
        <v>0</v>
      </c>
      <c r="AQ15" s="11" t="s">
        <v>122</v>
      </c>
      <c r="AV15" s="12">
        <f t="shared" si="14"/>
        <v>0</v>
      </c>
      <c r="AW15" s="12">
        <f t="shared" si="15"/>
        <v>0</v>
      </c>
      <c r="AX15" s="12">
        <f t="shared" si="16"/>
        <v>0</v>
      </c>
      <c r="AY15" s="11" t="s">
        <v>126</v>
      </c>
      <c r="AZ15" s="11" t="s">
        <v>127</v>
      </c>
      <c r="BA15" s="41" t="s">
        <v>128</v>
      </c>
      <c r="BC15" s="12">
        <f t="shared" si="17"/>
        <v>0</v>
      </c>
      <c r="BD15" s="12">
        <f t="shared" si="18"/>
        <v>0</v>
      </c>
      <c r="BE15" s="12">
        <v>0</v>
      </c>
      <c r="BF15" s="12">
        <f>15</f>
        <v>15</v>
      </c>
      <c r="BH15" s="12">
        <f t="shared" si="19"/>
        <v>0</v>
      </c>
      <c r="BI15" s="12">
        <f t="shared" si="20"/>
        <v>0</v>
      </c>
      <c r="BJ15" s="12">
        <f t="shared" si="21"/>
        <v>0</v>
      </c>
      <c r="BK15" s="12"/>
      <c r="BL15" s="12">
        <v>123</v>
      </c>
      <c r="BW15" s="12">
        <v>21</v>
      </c>
      <c r="BX15" s="57" t="s">
        <v>134</v>
      </c>
    </row>
    <row r="16" spans="1:76" x14ac:dyDescent="0.2">
      <c r="A16" s="1" t="s">
        <v>135</v>
      </c>
      <c r="B16" s="2" t="s">
        <v>18</v>
      </c>
      <c r="C16" s="2" t="s">
        <v>136</v>
      </c>
      <c r="D16" s="92" t="s">
        <v>137</v>
      </c>
      <c r="E16" s="86"/>
      <c r="F16" s="2" t="s">
        <v>125</v>
      </c>
      <c r="G16" s="12">
        <v>1</v>
      </c>
      <c r="H16" s="69">
        <v>0</v>
      </c>
      <c r="I16" s="69">
        <f t="shared" si="0"/>
        <v>0</v>
      </c>
      <c r="K16" s="45"/>
      <c r="Z16" s="12">
        <f t="shared" si="1"/>
        <v>0</v>
      </c>
      <c r="AB16" s="12">
        <f t="shared" si="2"/>
        <v>0</v>
      </c>
      <c r="AC16" s="12">
        <f t="shared" si="3"/>
        <v>0</v>
      </c>
      <c r="AD16" s="12">
        <f t="shared" si="4"/>
        <v>0</v>
      </c>
      <c r="AE16" s="12">
        <f t="shared" si="5"/>
        <v>0</v>
      </c>
      <c r="AF16" s="12">
        <f t="shared" si="6"/>
        <v>0</v>
      </c>
      <c r="AG16" s="12">
        <f t="shared" si="7"/>
        <v>0</v>
      </c>
      <c r="AH16" s="12">
        <f t="shared" si="8"/>
        <v>0</v>
      </c>
      <c r="AI16" s="41" t="s">
        <v>18</v>
      </c>
      <c r="AJ16" s="12">
        <f t="shared" si="9"/>
        <v>0</v>
      </c>
      <c r="AK16" s="12">
        <f t="shared" si="10"/>
        <v>0</v>
      </c>
      <c r="AL16" s="12">
        <f t="shared" si="11"/>
        <v>0</v>
      </c>
      <c r="AN16" s="12">
        <v>21</v>
      </c>
      <c r="AO16" s="12">
        <f t="shared" si="12"/>
        <v>0</v>
      </c>
      <c r="AP16" s="12">
        <f t="shared" si="13"/>
        <v>0</v>
      </c>
      <c r="AQ16" s="11" t="s">
        <v>122</v>
      </c>
      <c r="AV16" s="12">
        <f t="shared" si="14"/>
        <v>0</v>
      </c>
      <c r="AW16" s="12">
        <f t="shared" si="15"/>
        <v>0</v>
      </c>
      <c r="AX16" s="12">
        <f t="shared" si="16"/>
        <v>0</v>
      </c>
      <c r="AY16" s="11" t="s">
        <v>126</v>
      </c>
      <c r="AZ16" s="11" t="s">
        <v>127</v>
      </c>
      <c r="BA16" s="41" t="s">
        <v>128</v>
      </c>
      <c r="BC16" s="12">
        <f t="shared" si="17"/>
        <v>0</v>
      </c>
      <c r="BD16" s="12">
        <f t="shared" si="18"/>
        <v>0</v>
      </c>
      <c r="BE16" s="12">
        <v>0</v>
      </c>
      <c r="BF16" s="12">
        <f>16</f>
        <v>16</v>
      </c>
      <c r="BH16" s="12">
        <f t="shared" si="19"/>
        <v>0</v>
      </c>
      <c r="BI16" s="12">
        <f t="shared" si="20"/>
        <v>0</v>
      </c>
      <c r="BJ16" s="12">
        <f t="shared" si="21"/>
        <v>0</v>
      </c>
      <c r="BK16" s="12"/>
      <c r="BL16" s="12">
        <v>123</v>
      </c>
      <c r="BW16" s="12">
        <v>21</v>
      </c>
      <c r="BX16" s="57" t="s">
        <v>137</v>
      </c>
    </row>
    <row r="17" spans="1:76" x14ac:dyDescent="0.2">
      <c r="A17" s="1" t="s">
        <v>138</v>
      </c>
      <c r="B17" s="2" t="s">
        <v>18</v>
      </c>
      <c r="C17" s="2" t="s">
        <v>139</v>
      </c>
      <c r="D17" s="92" t="s">
        <v>52</v>
      </c>
      <c r="E17" s="86"/>
      <c r="F17" s="2" t="s">
        <v>125</v>
      </c>
      <c r="G17" s="12">
        <v>1</v>
      </c>
      <c r="H17" s="69">
        <v>0</v>
      </c>
      <c r="I17" s="69">
        <f t="shared" si="0"/>
        <v>0</v>
      </c>
      <c r="K17" s="45"/>
      <c r="Z17" s="12">
        <f t="shared" si="1"/>
        <v>0</v>
      </c>
      <c r="AB17" s="12">
        <f t="shared" si="2"/>
        <v>0</v>
      </c>
      <c r="AC17" s="12">
        <f t="shared" si="3"/>
        <v>0</v>
      </c>
      <c r="AD17" s="12">
        <f t="shared" si="4"/>
        <v>0</v>
      </c>
      <c r="AE17" s="12">
        <f t="shared" si="5"/>
        <v>0</v>
      </c>
      <c r="AF17" s="12">
        <f t="shared" si="6"/>
        <v>0</v>
      </c>
      <c r="AG17" s="12">
        <f t="shared" si="7"/>
        <v>0</v>
      </c>
      <c r="AH17" s="12">
        <f t="shared" si="8"/>
        <v>0</v>
      </c>
      <c r="AI17" s="41" t="s">
        <v>18</v>
      </c>
      <c r="AJ17" s="12">
        <f t="shared" si="9"/>
        <v>0</v>
      </c>
      <c r="AK17" s="12">
        <f t="shared" si="10"/>
        <v>0</v>
      </c>
      <c r="AL17" s="12">
        <f t="shared" si="11"/>
        <v>0</v>
      </c>
      <c r="AN17" s="12">
        <v>21</v>
      </c>
      <c r="AO17" s="12">
        <f t="shared" si="12"/>
        <v>0</v>
      </c>
      <c r="AP17" s="12">
        <f t="shared" si="13"/>
        <v>0</v>
      </c>
      <c r="AQ17" s="11" t="s">
        <v>122</v>
      </c>
      <c r="AV17" s="12">
        <f t="shared" si="14"/>
        <v>0</v>
      </c>
      <c r="AW17" s="12">
        <f t="shared" si="15"/>
        <v>0</v>
      </c>
      <c r="AX17" s="12">
        <f t="shared" si="16"/>
        <v>0</v>
      </c>
      <c r="AY17" s="11" t="s">
        <v>126</v>
      </c>
      <c r="AZ17" s="11" t="s">
        <v>127</v>
      </c>
      <c r="BA17" s="41" t="s">
        <v>128</v>
      </c>
      <c r="BC17" s="12">
        <f t="shared" si="17"/>
        <v>0</v>
      </c>
      <c r="BD17" s="12">
        <f t="shared" si="18"/>
        <v>0</v>
      </c>
      <c r="BE17" s="12">
        <v>0</v>
      </c>
      <c r="BF17" s="12">
        <f>17</f>
        <v>17</v>
      </c>
      <c r="BH17" s="12">
        <f t="shared" si="19"/>
        <v>0</v>
      </c>
      <c r="BI17" s="12">
        <f t="shared" si="20"/>
        <v>0</v>
      </c>
      <c r="BJ17" s="12">
        <f t="shared" si="21"/>
        <v>0</v>
      </c>
      <c r="BK17" s="12"/>
      <c r="BL17" s="12">
        <v>123</v>
      </c>
      <c r="BW17" s="12">
        <v>21</v>
      </c>
      <c r="BX17" s="57" t="s">
        <v>52</v>
      </c>
    </row>
    <row r="18" spans="1:76" x14ac:dyDescent="0.2">
      <c r="A18" s="1" t="s">
        <v>140</v>
      </c>
      <c r="B18" s="2" t="s">
        <v>18</v>
      </c>
      <c r="C18" s="2" t="s">
        <v>141</v>
      </c>
      <c r="D18" s="92" t="s">
        <v>142</v>
      </c>
      <c r="E18" s="86"/>
      <c r="F18" s="2" t="s">
        <v>143</v>
      </c>
      <c r="G18" s="12">
        <v>1</v>
      </c>
      <c r="H18" s="69">
        <v>0</v>
      </c>
      <c r="I18" s="69">
        <f t="shared" si="0"/>
        <v>0</v>
      </c>
      <c r="K18" s="45"/>
      <c r="Z18" s="12">
        <f t="shared" si="1"/>
        <v>0</v>
      </c>
      <c r="AB18" s="12">
        <f t="shared" si="2"/>
        <v>0</v>
      </c>
      <c r="AC18" s="12">
        <f t="shared" si="3"/>
        <v>0</v>
      </c>
      <c r="AD18" s="12">
        <f t="shared" si="4"/>
        <v>0</v>
      </c>
      <c r="AE18" s="12">
        <f t="shared" si="5"/>
        <v>0</v>
      </c>
      <c r="AF18" s="12">
        <f t="shared" si="6"/>
        <v>0</v>
      </c>
      <c r="AG18" s="12">
        <f t="shared" si="7"/>
        <v>0</v>
      </c>
      <c r="AH18" s="12">
        <f t="shared" si="8"/>
        <v>0</v>
      </c>
      <c r="AI18" s="41" t="s">
        <v>18</v>
      </c>
      <c r="AJ18" s="12">
        <f t="shared" si="9"/>
        <v>0</v>
      </c>
      <c r="AK18" s="12">
        <f t="shared" si="10"/>
        <v>0</v>
      </c>
      <c r="AL18" s="12">
        <f t="shared" si="11"/>
        <v>0</v>
      </c>
      <c r="AN18" s="12">
        <v>21</v>
      </c>
      <c r="AO18" s="12">
        <f t="shared" si="12"/>
        <v>0</v>
      </c>
      <c r="AP18" s="12">
        <f t="shared" si="13"/>
        <v>0</v>
      </c>
      <c r="AQ18" s="11" t="s">
        <v>122</v>
      </c>
      <c r="AV18" s="12">
        <f t="shared" si="14"/>
        <v>0</v>
      </c>
      <c r="AW18" s="12">
        <f t="shared" si="15"/>
        <v>0</v>
      </c>
      <c r="AX18" s="12">
        <f t="shared" si="16"/>
        <v>0</v>
      </c>
      <c r="AY18" s="11" t="s">
        <v>126</v>
      </c>
      <c r="AZ18" s="11" t="s">
        <v>127</v>
      </c>
      <c r="BA18" s="41" t="s">
        <v>128</v>
      </c>
      <c r="BC18" s="12">
        <f t="shared" si="17"/>
        <v>0</v>
      </c>
      <c r="BD18" s="12">
        <f t="shared" si="18"/>
        <v>0</v>
      </c>
      <c r="BE18" s="12">
        <v>0</v>
      </c>
      <c r="BF18" s="12">
        <f>18</f>
        <v>18</v>
      </c>
      <c r="BH18" s="12">
        <f t="shared" si="19"/>
        <v>0</v>
      </c>
      <c r="BI18" s="12">
        <f t="shared" si="20"/>
        <v>0</v>
      </c>
      <c r="BJ18" s="12">
        <f t="shared" si="21"/>
        <v>0</v>
      </c>
      <c r="BK18" s="12"/>
      <c r="BL18" s="12">
        <v>123</v>
      </c>
      <c r="BW18" s="12">
        <v>21</v>
      </c>
      <c r="BX18" s="57" t="s">
        <v>142</v>
      </c>
    </row>
    <row r="19" spans="1:76" x14ac:dyDescent="0.2">
      <c r="A19" s="48" t="s">
        <v>18</v>
      </c>
      <c r="B19" s="60" t="s">
        <v>18</v>
      </c>
      <c r="C19" s="60" t="s">
        <v>22</v>
      </c>
      <c r="D19" s="171" t="s">
        <v>23</v>
      </c>
      <c r="E19" s="172"/>
      <c r="F19" s="49" t="s">
        <v>3</v>
      </c>
      <c r="G19" s="49" t="s">
        <v>3</v>
      </c>
      <c r="H19" s="70" t="s">
        <v>3</v>
      </c>
      <c r="I19" s="62">
        <f>SUM(I20:I29)</f>
        <v>0</v>
      </c>
      <c r="K19" s="45"/>
      <c r="AI19" s="41" t="s">
        <v>18</v>
      </c>
      <c r="AS19" s="36">
        <f>SUM(AJ20:AJ29)</f>
        <v>0</v>
      </c>
      <c r="AT19" s="36">
        <f>SUM(AK20:AK29)</f>
        <v>0</v>
      </c>
      <c r="AU19" s="36">
        <f>SUM(AL20:AL29)</f>
        <v>0</v>
      </c>
    </row>
    <row r="20" spans="1:76" x14ac:dyDescent="0.2">
      <c r="A20" s="1" t="s">
        <v>144</v>
      </c>
      <c r="B20" s="2" t="s">
        <v>18</v>
      </c>
      <c r="C20" s="2" t="s">
        <v>145</v>
      </c>
      <c r="D20" s="92" t="s">
        <v>146</v>
      </c>
      <c r="E20" s="86"/>
      <c r="F20" s="2" t="s">
        <v>147</v>
      </c>
      <c r="G20" s="12">
        <v>1156</v>
      </c>
      <c r="H20" s="69">
        <v>0</v>
      </c>
      <c r="I20" s="69">
        <f>ROUND(G20*H20,2)</f>
        <v>0</v>
      </c>
      <c r="K20" s="45"/>
      <c r="Z20" s="12">
        <f>ROUND(IF(AQ20="5",BJ20,0),2)</f>
        <v>0</v>
      </c>
      <c r="AB20" s="12">
        <f>ROUND(IF(AQ20="1",BH20,0),2)</f>
        <v>0</v>
      </c>
      <c r="AC20" s="12">
        <f>ROUND(IF(AQ20="1",BI20,0),2)</f>
        <v>0</v>
      </c>
      <c r="AD20" s="12">
        <f>ROUND(IF(AQ20="7",BH20,0),2)</f>
        <v>0</v>
      </c>
      <c r="AE20" s="12">
        <f>ROUND(IF(AQ20="7",BI20,0),2)</f>
        <v>0</v>
      </c>
      <c r="AF20" s="12">
        <f>ROUND(IF(AQ20="2",BH20,0),2)</f>
        <v>0</v>
      </c>
      <c r="AG20" s="12">
        <f>ROUND(IF(AQ20="2",BI20,0),2)</f>
        <v>0</v>
      </c>
      <c r="AH20" s="12">
        <f>ROUND(IF(AQ20="0",BJ20,0),2)</f>
        <v>0</v>
      </c>
      <c r="AI20" s="41" t="s">
        <v>18</v>
      </c>
      <c r="AJ20" s="12">
        <f>IF(AN20=0,I20,0)</f>
        <v>0</v>
      </c>
      <c r="AK20" s="12">
        <f>IF(AN20=12,I20,0)</f>
        <v>0</v>
      </c>
      <c r="AL20" s="12">
        <f>IF(AN20=21,I20,0)</f>
        <v>0</v>
      </c>
      <c r="AN20" s="12">
        <v>21</v>
      </c>
      <c r="AO20" s="12">
        <f>H20*0</f>
        <v>0</v>
      </c>
      <c r="AP20" s="12">
        <f>H20*(1-0)</f>
        <v>0</v>
      </c>
      <c r="AQ20" s="11" t="s">
        <v>122</v>
      </c>
      <c r="AV20" s="12">
        <f>ROUND(AW20+AX20,2)</f>
        <v>0</v>
      </c>
      <c r="AW20" s="12">
        <f>ROUND(G20*AO20,2)</f>
        <v>0</v>
      </c>
      <c r="AX20" s="12">
        <f>ROUND(G20*AP20,2)</f>
        <v>0</v>
      </c>
      <c r="AY20" s="11" t="s">
        <v>148</v>
      </c>
      <c r="AZ20" s="11" t="s">
        <v>127</v>
      </c>
      <c r="BA20" s="41" t="s">
        <v>128</v>
      </c>
      <c r="BC20" s="12">
        <f>AW20+AX20</f>
        <v>0</v>
      </c>
      <c r="BD20" s="12">
        <f>H20/(100-BE20)*100</f>
        <v>0</v>
      </c>
      <c r="BE20" s="12">
        <v>0</v>
      </c>
      <c r="BF20" s="12">
        <f>20</f>
        <v>20</v>
      </c>
      <c r="BH20" s="12">
        <f>G20*AO20</f>
        <v>0</v>
      </c>
      <c r="BI20" s="12">
        <f>G20*AP20</f>
        <v>0</v>
      </c>
      <c r="BJ20" s="12">
        <f>G20*H20</f>
        <v>0</v>
      </c>
      <c r="BK20" s="12"/>
      <c r="BL20" s="12">
        <v>11</v>
      </c>
      <c r="BW20" s="12">
        <v>21</v>
      </c>
      <c r="BX20" s="57" t="s">
        <v>146</v>
      </c>
    </row>
    <row r="21" spans="1:76" x14ac:dyDescent="0.2">
      <c r="A21" s="50"/>
      <c r="D21" s="51" t="s">
        <v>149</v>
      </c>
      <c r="E21" s="51" t="s">
        <v>18</v>
      </c>
      <c r="G21" s="52">
        <v>0</v>
      </c>
      <c r="K21" s="45"/>
    </row>
    <row r="22" spans="1:76" x14ac:dyDescent="0.2">
      <c r="A22" s="50"/>
      <c r="D22" s="51" t="s">
        <v>150</v>
      </c>
      <c r="E22" s="51" t="s">
        <v>18</v>
      </c>
      <c r="G22" s="52">
        <v>348</v>
      </c>
      <c r="K22" s="45"/>
    </row>
    <row r="23" spans="1:76" x14ac:dyDescent="0.2">
      <c r="A23" s="50"/>
      <c r="D23" s="51" t="s">
        <v>151</v>
      </c>
      <c r="E23" s="51" t="s">
        <v>18</v>
      </c>
      <c r="G23" s="52">
        <v>775</v>
      </c>
      <c r="K23" s="45"/>
    </row>
    <row r="24" spans="1:76" x14ac:dyDescent="0.2">
      <c r="A24" s="50"/>
      <c r="D24" s="51" t="s">
        <v>152</v>
      </c>
      <c r="E24" s="51" t="s">
        <v>18</v>
      </c>
      <c r="G24" s="52">
        <v>33</v>
      </c>
      <c r="K24" s="45"/>
    </row>
    <row r="25" spans="1:76" x14ac:dyDescent="0.2">
      <c r="A25" s="1" t="s">
        <v>153</v>
      </c>
      <c r="B25" s="2" t="s">
        <v>18</v>
      </c>
      <c r="C25" s="2" t="s">
        <v>154</v>
      </c>
      <c r="D25" s="92" t="s">
        <v>155</v>
      </c>
      <c r="E25" s="86"/>
      <c r="F25" s="2" t="s">
        <v>147</v>
      </c>
      <c r="G25" s="12">
        <v>578</v>
      </c>
      <c r="H25" s="69">
        <v>0</v>
      </c>
      <c r="I25" s="69">
        <f>ROUND(G25*H25,2)</f>
        <v>0</v>
      </c>
      <c r="K25" s="45"/>
      <c r="Z25" s="12">
        <f>ROUND(IF(AQ25="5",BJ25,0),2)</f>
        <v>0</v>
      </c>
      <c r="AB25" s="12">
        <f>ROUND(IF(AQ25="1",BH25,0),2)</f>
        <v>0</v>
      </c>
      <c r="AC25" s="12">
        <f>ROUND(IF(AQ25="1",BI25,0),2)</f>
        <v>0</v>
      </c>
      <c r="AD25" s="12">
        <f>ROUND(IF(AQ25="7",BH25,0),2)</f>
        <v>0</v>
      </c>
      <c r="AE25" s="12">
        <f>ROUND(IF(AQ25="7",BI25,0),2)</f>
        <v>0</v>
      </c>
      <c r="AF25" s="12">
        <f>ROUND(IF(AQ25="2",BH25,0),2)</f>
        <v>0</v>
      </c>
      <c r="AG25" s="12">
        <f>ROUND(IF(AQ25="2",BI25,0),2)</f>
        <v>0</v>
      </c>
      <c r="AH25" s="12">
        <f>ROUND(IF(AQ25="0",BJ25,0),2)</f>
        <v>0</v>
      </c>
      <c r="AI25" s="41" t="s">
        <v>18</v>
      </c>
      <c r="AJ25" s="12">
        <f>IF(AN25=0,I25,0)</f>
        <v>0</v>
      </c>
      <c r="AK25" s="12">
        <f>IF(AN25=12,I25,0)</f>
        <v>0</v>
      </c>
      <c r="AL25" s="12">
        <f>IF(AN25=21,I25,0)</f>
        <v>0</v>
      </c>
      <c r="AN25" s="12">
        <v>21</v>
      </c>
      <c r="AO25" s="12">
        <f>H25*0</f>
        <v>0</v>
      </c>
      <c r="AP25" s="12">
        <f>H25*(1-0)</f>
        <v>0</v>
      </c>
      <c r="AQ25" s="11" t="s">
        <v>122</v>
      </c>
      <c r="AV25" s="12">
        <f>ROUND(AW25+AX25,2)</f>
        <v>0</v>
      </c>
      <c r="AW25" s="12">
        <f>ROUND(G25*AO25,2)</f>
        <v>0</v>
      </c>
      <c r="AX25" s="12">
        <f>ROUND(G25*AP25,2)</f>
        <v>0</v>
      </c>
      <c r="AY25" s="11" t="s">
        <v>148</v>
      </c>
      <c r="AZ25" s="11" t="s">
        <v>127</v>
      </c>
      <c r="BA25" s="41" t="s">
        <v>128</v>
      </c>
      <c r="BC25" s="12">
        <f>AW25+AX25</f>
        <v>0</v>
      </c>
      <c r="BD25" s="12">
        <f>H25/(100-BE25)*100</f>
        <v>0</v>
      </c>
      <c r="BE25" s="12">
        <v>0</v>
      </c>
      <c r="BF25" s="12">
        <f>25</f>
        <v>25</v>
      </c>
      <c r="BH25" s="12">
        <f>G25*AO25</f>
        <v>0</v>
      </c>
      <c r="BI25" s="12">
        <f>G25*AP25</f>
        <v>0</v>
      </c>
      <c r="BJ25" s="12">
        <f>G25*H25</f>
        <v>0</v>
      </c>
      <c r="BK25" s="12"/>
      <c r="BL25" s="12">
        <v>11</v>
      </c>
      <c r="BW25" s="12">
        <v>21</v>
      </c>
      <c r="BX25" s="57" t="s">
        <v>155</v>
      </c>
    </row>
    <row r="26" spans="1:76" x14ac:dyDescent="0.2">
      <c r="A26" s="50"/>
      <c r="D26" s="51" t="s">
        <v>156</v>
      </c>
      <c r="E26" s="51" t="s">
        <v>18</v>
      </c>
      <c r="G26" s="52">
        <v>0</v>
      </c>
      <c r="K26" s="45"/>
    </row>
    <row r="27" spans="1:76" x14ac:dyDescent="0.2">
      <c r="A27" s="50"/>
      <c r="D27" s="51" t="s">
        <v>157</v>
      </c>
      <c r="E27" s="51" t="s">
        <v>18</v>
      </c>
      <c r="G27" s="52">
        <v>578</v>
      </c>
      <c r="K27" s="45"/>
    </row>
    <row r="28" spans="1:76" x14ac:dyDescent="0.2">
      <c r="A28" s="1" t="s">
        <v>158</v>
      </c>
      <c r="B28" s="2" t="s">
        <v>18</v>
      </c>
      <c r="C28" s="2" t="s">
        <v>159</v>
      </c>
      <c r="D28" s="92" t="s">
        <v>160</v>
      </c>
      <c r="E28" s="86"/>
      <c r="F28" s="2" t="s">
        <v>161</v>
      </c>
      <c r="G28" s="12">
        <v>20</v>
      </c>
      <c r="H28" s="69">
        <v>0</v>
      </c>
      <c r="I28" s="69">
        <f>ROUND(G28*H28,2)</f>
        <v>0</v>
      </c>
      <c r="K28" s="45"/>
      <c r="Z28" s="12">
        <f>ROUND(IF(AQ28="5",BJ28,0),2)</f>
        <v>0</v>
      </c>
      <c r="AB28" s="12">
        <f>ROUND(IF(AQ28="1",BH28,0),2)</f>
        <v>0</v>
      </c>
      <c r="AC28" s="12">
        <f>ROUND(IF(AQ28="1",BI28,0),2)</f>
        <v>0</v>
      </c>
      <c r="AD28" s="12">
        <f>ROUND(IF(AQ28="7",BH28,0),2)</f>
        <v>0</v>
      </c>
      <c r="AE28" s="12">
        <f>ROUND(IF(AQ28="7",BI28,0),2)</f>
        <v>0</v>
      </c>
      <c r="AF28" s="12">
        <f>ROUND(IF(AQ28="2",BH28,0),2)</f>
        <v>0</v>
      </c>
      <c r="AG28" s="12">
        <f>ROUND(IF(AQ28="2",BI28,0),2)</f>
        <v>0</v>
      </c>
      <c r="AH28" s="12">
        <f>ROUND(IF(AQ28="0",BJ28,0),2)</f>
        <v>0</v>
      </c>
      <c r="AI28" s="41" t="s">
        <v>18</v>
      </c>
      <c r="AJ28" s="12">
        <f>IF(AN28=0,I28,0)</f>
        <v>0</v>
      </c>
      <c r="AK28" s="12">
        <f>IF(AN28=12,I28,0)</f>
        <v>0</v>
      </c>
      <c r="AL28" s="12">
        <f>IF(AN28=21,I28,0)</f>
        <v>0</v>
      </c>
      <c r="AN28" s="12">
        <v>21</v>
      </c>
      <c r="AO28" s="12">
        <f>H28*0</f>
        <v>0</v>
      </c>
      <c r="AP28" s="12">
        <f>H28*(1-0)</f>
        <v>0</v>
      </c>
      <c r="AQ28" s="11" t="s">
        <v>122</v>
      </c>
      <c r="AV28" s="12">
        <f>ROUND(AW28+AX28,2)</f>
        <v>0</v>
      </c>
      <c r="AW28" s="12">
        <f>ROUND(G28*AO28,2)</f>
        <v>0</v>
      </c>
      <c r="AX28" s="12">
        <f>ROUND(G28*AP28,2)</f>
        <v>0</v>
      </c>
      <c r="AY28" s="11" t="s">
        <v>148</v>
      </c>
      <c r="AZ28" s="11" t="s">
        <v>127</v>
      </c>
      <c r="BA28" s="41" t="s">
        <v>128</v>
      </c>
      <c r="BC28" s="12">
        <f>AW28+AX28</f>
        <v>0</v>
      </c>
      <c r="BD28" s="12">
        <f>H28/(100-BE28)*100</f>
        <v>0</v>
      </c>
      <c r="BE28" s="12">
        <v>0</v>
      </c>
      <c r="BF28" s="12">
        <f>28</f>
        <v>28</v>
      </c>
      <c r="BH28" s="12">
        <f>G28*AO28</f>
        <v>0</v>
      </c>
      <c r="BI28" s="12">
        <f>G28*AP28</f>
        <v>0</v>
      </c>
      <c r="BJ28" s="12">
        <f>G28*H28</f>
        <v>0</v>
      </c>
      <c r="BK28" s="12"/>
      <c r="BL28" s="12">
        <v>11</v>
      </c>
      <c r="BW28" s="12">
        <v>21</v>
      </c>
      <c r="BX28" s="57" t="s">
        <v>160</v>
      </c>
    </row>
    <row r="29" spans="1:76" x14ac:dyDescent="0.2">
      <c r="A29" s="1" t="s">
        <v>162</v>
      </c>
      <c r="B29" s="2" t="s">
        <v>18</v>
      </c>
      <c r="C29" s="2" t="s">
        <v>163</v>
      </c>
      <c r="D29" s="92" t="s">
        <v>164</v>
      </c>
      <c r="E29" s="86"/>
      <c r="F29" s="2" t="s">
        <v>147</v>
      </c>
      <c r="G29" s="12">
        <v>2</v>
      </c>
      <c r="H29" s="69">
        <v>0</v>
      </c>
      <c r="I29" s="69">
        <f>ROUND(G29*H29,2)</f>
        <v>0</v>
      </c>
      <c r="K29" s="45"/>
      <c r="Z29" s="12">
        <f>ROUND(IF(AQ29="5",BJ29,0),2)</f>
        <v>0</v>
      </c>
      <c r="AB29" s="12">
        <f>ROUND(IF(AQ29="1",BH29,0),2)</f>
        <v>0</v>
      </c>
      <c r="AC29" s="12">
        <f>ROUND(IF(AQ29="1",BI29,0),2)</f>
        <v>0</v>
      </c>
      <c r="AD29" s="12">
        <f>ROUND(IF(AQ29="7",BH29,0),2)</f>
        <v>0</v>
      </c>
      <c r="AE29" s="12">
        <f>ROUND(IF(AQ29="7",BI29,0),2)</f>
        <v>0</v>
      </c>
      <c r="AF29" s="12">
        <f>ROUND(IF(AQ29="2",BH29,0),2)</f>
        <v>0</v>
      </c>
      <c r="AG29" s="12">
        <f>ROUND(IF(AQ29="2",BI29,0),2)</f>
        <v>0</v>
      </c>
      <c r="AH29" s="12">
        <f>ROUND(IF(AQ29="0",BJ29,0),2)</f>
        <v>0</v>
      </c>
      <c r="AI29" s="41" t="s">
        <v>18</v>
      </c>
      <c r="AJ29" s="12">
        <f>IF(AN29=0,I29,0)</f>
        <v>0</v>
      </c>
      <c r="AK29" s="12">
        <f>IF(AN29=12,I29,0)</f>
        <v>0</v>
      </c>
      <c r="AL29" s="12">
        <f>IF(AN29=21,I29,0)</f>
        <v>0</v>
      </c>
      <c r="AN29" s="12">
        <v>21</v>
      </c>
      <c r="AO29" s="12">
        <f>H29*0</f>
        <v>0</v>
      </c>
      <c r="AP29" s="12">
        <f>H29*(1-0)</f>
        <v>0</v>
      </c>
      <c r="AQ29" s="11" t="s">
        <v>122</v>
      </c>
      <c r="AV29" s="12">
        <f>ROUND(AW29+AX29,2)</f>
        <v>0</v>
      </c>
      <c r="AW29" s="12">
        <f>ROUND(G29*AO29,2)</f>
        <v>0</v>
      </c>
      <c r="AX29" s="12">
        <f>ROUND(G29*AP29,2)</f>
        <v>0</v>
      </c>
      <c r="AY29" s="11" t="s">
        <v>148</v>
      </c>
      <c r="AZ29" s="11" t="s">
        <v>127</v>
      </c>
      <c r="BA29" s="41" t="s">
        <v>128</v>
      </c>
      <c r="BC29" s="12">
        <f>AW29+AX29</f>
        <v>0</v>
      </c>
      <c r="BD29" s="12">
        <f>H29/(100-BE29)*100</f>
        <v>0</v>
      </c>
      <c r="BE29" s="12">
        <v>0</v>
      </c>
      <c r="BF29" s="12">
        <f>29</f>
        <v>29</v>
      </c>
      <c r="BH29" s="12">
        <f>G29*AO29</f>
        <v>0</v>
      </c>
      <c r="BI29" s="12">
        <f>G29*AP29</f>
        <v>0</v>
      </c>
      <c r="BJ29" s="12">
        <f>G29*H29</f>
        <v>0</v>
      </c>
      <c r="BK29" s="12"/>
      <c r="BL29" s="12">
        <v>11</v>
      </c>
      <c r="BW29" s="12">
        <v>21</v>
      </c>
      <c r="BX29" s="57" t="s">
        <v>164</v>
      </c>
    </row>
    <row r="30" spans="1:76" x14ac:dyDescent="0.2">
      <c r="A30" s="50"/>
      <c r="D30" s="51" t="s">
        <v>165</v>
      </c>
      <c r="E30" s="51" t="s">
        <v>18</v>
      </c>
      <c r="G30" s="52">
        <v>2</v>
      </c>
      <c r="K30" s="45"/>
    </row>
    <row r="31" spans="1:76" x14ac:dyDescent="0.2">
      <c r="A31" s="48" t="s">
        <v>18</v>
      </c>
      <c r="B31" s="60" t="s">
        <v>18</v>
      </c>
      <c r="C31" s="60" t="s">
        <v>24</v>
      </c>
      <c r="D31" s="171" t="s">
        <v>25</v>
      </c>
      <c r="E31" s="172"/>
      <c r="F31" s="49" t="s">
        <v>3</v>
      </c>
      <c r="G31" s="49" t="s">
        <v>3</v>
      </c>
      <c r="H31" s="70" t="s">
        <v>3</v>
      </c>
      <c r="I31" s="62">
        <f>SUM(I32:I32)</f>
        <v>0</v>
      </c>
      <c r="K31" s="45"/>
      <c r="AI31" s="41" t="s">
        <v>18</v>
      </c>
      <c r="AS31" s="36">
        <f>SUM(AJ32:AJ32)</f>
        <v>0</v>
      </c>
      <c r="AT31" s="36">
        <f>SUM(AK32:AK32)</f>
        <v>0</v>
      </c>
      <c r="AU31" s="36">
        <f>SUM(AL32:AL32)</f>
        <v>0</v>
      </c>
    </row>
    <row r="32" spans="1:76" x14ac:dyDescent="0.2">
      <c r="A32" s="1" t="s">
        <v>22</v>
      </c>
      <c r="B32" s="2" t="s">
        <v>18</v>
      </c>
      <c r="C32" s="2" t="s">
        <v>166</v>
      </c>
      <c r="D32" s="92" t="s">
        <v>167</v>
      </c>
      <c r="E32" s="86"/>
      <c r="F32" s="2" t="s">
        <v>147</v>
      </c>
      <c r="G32" s="12">
        <v>1156</v>
      </c>
      <c r="H32" s="69">
        <v>0</v>
      </c>
      <c r="I32" s="69">
        <f>ROUND(G32*H32,2)</f>
        <v>0</v>
      </c>
      <c r="K32" s="45"/>
      <c r="Z32" s="12">
        <f>ROUND(IF(AQ32="5",BJ32,0),2)</f>
        <v>0</v>
      </c>
      <c r="AB32" s="12">
        <f>ROUND(IF(AQ32="1",BH32,0),2)</f>
        <v>0</v>
      </c>
      <c r="AC32" s="12">
        <f>ROUND(IF(AQ32="1",BI32,0),2)</f>
        <v>0</v>
      </c>
      <c r="AD32" s="12">
        <f>ROUND(IF(AQ32="7",BH32,0),2)</f>
        <v>0</v>
      </c>
      <c r="AE32" s="12">
        <f>ROUND(IF(AQ32="7",BI32,0),2)</f>
        <v>0</v>
      </c>
      <c r="AF32" s="12">
        <f>ROUND(IF(AQ32="2",BH32,0),2)</f>
        <v>0</v>
      </c>
      <c r="AG32" s="12">
        <f>ROUND(IF(AQ32="2",BI32,0),2)</f>
        <v>0</v>
      </c>
      <c r="AH32" s="12">
        <f>ROUND(IF(AQ32="0",BJ32,0),2)</f>
        <v>0</v>
      </c>
      <c r="AI32" s="41" t="s">
        <v>18</v>
      </c>
      <c r="AJ32" s="12">
        <f>IF(AN32=0,I32,0)</f>
        <v>0</v>
      </c>
      <c r="AK32" s="12">
        <f>IF(AN32=12,I32,0)</f>
        <v>0</v>
      </c>
      <c r="AL32" s="12">
        <f>IF(AN32=21,I32,0)</f>
        <v>0</v>
      </c>
      <c r="AN32" s="12">
        <v>21</v>
      </c>
      <c r="AO32" s="12">
        <f>H32*0</f>
        <v>0</v>
      </c>
      <c r="AP32" s="12">
        <f>H32*(1-0)</f>
        <v>0</v>
      </c>
      <c r="AQ32" s="11" t="s">
        <v>122</v>
      </c>
      <c r="AV32" s="12">
        <f>ROUND(AW32+AX32,2)</f>
        <v>0</v>
      </c>
      <c r="AW32" s="12">
        <f>ROUND(G32*AO32,2)</f>
        <v>0</v>
      </c>
      <c r="AX32" s="12">
        <f>ROUND(G32*AP32,2)</f>
        <v>0</v>
      </c>
      <c r="AY32" s="11" t="s">
        <v>168</v>
      </c>
      <c r="AZ32" s="11" t="s">
        <v>127</v>
      </c>
      <c r="BA32" s="41" t="s">
        <v>128</v>
      </c>
      <c r="BC32" s="12">
        <f>AW32+AX32</f>
        <v>0</v>
      </c>
      <c r="BD32" s="12">
        <f>H32/(100-BE32)*100</f>
        <v>0</v>
      </c>
      <c r="BE32" s="12">
        <v>0</v>
      </c>
      <c r="BF32" s="12">
        <f>32</f>
        <v>32</v>
      </c>
      <c r="BH32" s="12">
        <f>G32*AO32</f>
        <v>0</v>
      </c>
      <c r="BI32" s="12">
        <f>G32*AP32</f>
        <v>0</v>
      </c>
      <c r="BJ32" s="12">
        <f>G32*H32</f>
        <v>0</v>
      </c>
      <c r="BK32" s="12"/>
      <c r="BL32" s="12">
        <v>18</v>
      </c>
      <c r="BW32" s="12">
        <v>21</v>
      </c>
      <c r="BX32" s="57" t="s">
        <v>167</v>
      </c>
    </row>
    <row r="33" spans="1:76" x14ac:dyDescent="0.2">
      <c r="A33" s="48" t="s">
        <v>18</v>
      </c>
      <c r="B33" s="60" t="s">
        <v>18</v>
      </c>
      <c r="C33" s="60" t="s">
        <v>26</v>
      </c>
      <c r="D33" s="171" t="s">
        <v>27</v>
      </c>
      <c r="E33" s="172"/>
      <c r="F33" s="49" t="s">
        <v>3</v>
      </c>
      <c r="G33" s="49" t="s">
        <v>3</v>
      </c>
      <c r="H33" s="70" t="s">
        <v>3</v>
      </c>
      <c r="I33" s="62">
        <f>SUM(I34:I36)</f>
        <v>0</v>
      </c>
      <c r="K33" s="45"/>
      <c r="AI33" s="41" t="s">
        <v>18</v>
      </c>
      <c r="AS33" s="36">
        <f>SUM(AJ34:AJ36)</f>
        <v>0</v>
      </c>
      <c r="AT33" s="36">
        <f>SUM(AK34:AK36)</f>
        <v>0</v>
      </c>
      <c r="AU33" s="36">
        <f>SUM(AL34:AL36)</f>
        <v>0</v>
      </c>
    </row>
    <row r="34" spans="1:76" x14ac:dyDescent="0.2">
      <c r="A34" s="1" t="s">
        <v>169</v>
      </c>
      <c r="B34" s="2" t="s">
        <v>18</v>
      </c>
      <c r="C34" s="2" t="s">
        <v>170</v>
      </c>
      <c r="D34" s="92" t="s">
        <v>171</v>
      </c>
      <c r="E34" s="86"/>
      <c r="F34" s="2" t="s">
        <v>147</v>
      </c>
      <c r="G34" s="12">
        <v>1156</v>
      </c>
      <c r="H34" s="69">
        <v>0</v>
      </c>
      <c r="I34" s="69">
        <f>ROUND(G34*H34,2)</f>
        <v>0</v>
      </c>
      <c r="K34" s="45"/>
      <c r="Z34" s="12">
        <f>ROUND(IF(AQ34="5",BJ34,0),2)</f>
        <v>0</v>
      </c>
      <c r="AB34" s="12">
        <f>ROUND(IF(AQ34="1",BH34,0),2)</f>
        <v>0</v>
      </c>
      <c r="AC34" s="12">
        <f>ROUND(IF(AQ34="1",BI34,0),2)</f>
        <v>0</v>
      </c>
      <c r="AD34" s="12">
        <f>ROUND(IF(AQ34="7",BH34,0),2)</f>
        <v>0</v>
      </c>
      <c r="AE34" s="12">
        <f>ROUND(IF(AQ34="7",BI34,0),2)</f>
        <v>0</v>
      </c>
      <c r="AF34" s="12">
        <f>ROUND(IF(AQ34="2",BH34,0),2)</f>
        <v>0</v>
      </c>
      <c r="AG34" s="12">
        <f>ROUND(IF(AQ34="2",BI34,0),2)</f>
        <v>0</v>
      </c>
      <c r="AH34" s="12">
        <f>ROUND(IF(AQ34="0",BJ34,0),2)</f>
        <v>0</v>
      </c>
      <c r="AI34" s="41" t="s">
        <v>18</v>
      </c>
      <c r="AJ34" s="12">
        <f>IF(AN34=0,I34,0)</f>
        <v>0</v>
      </c>
      <c r="AK34" s="12">
        <f>IF(AN34=12,I34,0)</f>
        <v>0</v>
      </c>
      <c r="AL34" s="12">
        <f>IF(AN34=21,I34,0)</f>
        <v>0</v>
      </c>
      <c r="AN34" s="12">
        <v>21</v>
      </c>
      <c r="AO34" s="12">
        <f>H34*0.9</f>
        <v>0</v>
      </c>
      <c r="AP34" s="12">
        <f>H34*(1-0.9)</f>
        <v>0</v>
      </c>
      <c r="AQ34" s="11" t="s">
        <v>122</v>
      </c>
      <c r="AV34" s="12">
        <f>ROUND(AW34+AX34,2)</f>
        <v>0</v>
      </c>
      <c r="AW34" s="12">
        <f>ROUND(G34*AO34,2)</f>
        <v>0</v>
      </c>
      <c r="AX34" s="12">
        <f>ROUND(G34*AP34,2)</f>
        <v>0</v>
      </c>
      <c r="AY34" s="11" t="s">
        <v>172</v>
      </c>
      <c r="AZ34" s="11" t="s">
        <v>173</v>
      </c>
      <c r="BA34" s="41" t="s">
        <v>128</v>
      </c>
      <c r="BC34" s="12">
        <f>AW34+AX34</f>
        <v>0</v>
      </c>
      <c r="BD34" s="12">
        <f>H34/(100-BE34)*100</f>
        <v>0</v>
      </c>
      <c r="BE34" s="12">
        <v>0</v>
      </c>
      <c r="BF34" s="12">
        <f>34</f>
        <v>34</v>
      </c>
      <c r="BH34" s="12">
        <f>G34*AO34</f>
        <v>0</v>
      </c>
      <c r="BI34" s="12">
        <f>G34*AP34</f>
        <v>0</v>
      </c>
      <c r="BJ34" s="12">
        <f>G34*H34</f>
        <v>0</v>
      </c>
      <c r="BK34" s="12"/>
      <c r="BL34" s="12">
        <v>57</v>
      </c>
      <c r="BW34" s="12">
        <v>21</v>
      </c>
      <c r="BX34" s="57" t="s">
        <v>171</v>
      </c>
    </row>
    <row r="35" spans="1:76" x14ac:dyDescent="0.2">
      <c r="A35" s="1" t="s">
        <v>174</v>
      </c>
      <c r="B35" s="2" t="s">
        <v>18</v>
      </c>
      <c r="C35" s="2" t="s">
        <v>175</v>
      </c>
      <c r="D35" s="92" t="s">
        <v>241</v>
      </c>
      <c r="E35" s="86"/>
      <c r="F35" s="2" t="s">
        <v>147</v>
      </c>
      <c r="G35" s="12">
        <v>1156</v>
      </c>
      <c r="H35" s="69">
        <v>0</v>
      </c>
      <c r="I35" s="69">
        <f>ROUND(G35*H35,2)</f>
        <v>0</v>
      </c>
      <c r="K35" s="45"/>
      <c r="Z35" s="12">
        <f>ROUND(IF(AQ35="5",BJ35,0),2)</f>
        <v>0</v>
      </c>
      <c r="AB35" s="12">
        <f>ROUND(IF(AQ35="1",BH35,0),2)</f>
        <v>0</v>
      </c>
      <c r="AC35" s="12">
        <f>ROUND(IF(AQ35="1",BI35,0),2)</f>
        <v>0</v>
      </c>
      <c r="AD35" s="12">
        <f>ROUND(IF(AQ35="7",BH35,0),2)</f>
        <v>0</v>
      </c>
      <c r="AE35" s="12">
        <f>ROUND(IF(AQ35="7",BI35,0),2)</f>
        <v>0</v>
      </c>
      <c r="AF35" s="12">
        <f>ROUND(IF(AQ35="2",BH35,0),2)</f>
        <v>0</v>
      </c>
      <c r="AG35" s="12">
        <f>ROUND(IF(AQ35="2",BI35,0),2)</f>
        <v>0</v>
      </c>
      <c r="AH35" s="12">
        <f>ROUND(IF(AQ35="0",BJ35,0),2)</f>
        <v>0</v>
      </c>
      <c r="AI35" s="41" t="s">
        <v>18</v>
      </c>
      <c r="AJ35" s="12">
        <f>IF(AN35=0,I35,0)</f>
        <v>0</v>
      </c>
      <c r="AK35" s="12">
        <f>IF(AN35=12,I35,0)</f>
        <v>0</v>
      </c>
      <c r="AL35" s="12">
        <f>IF(AN35=21,I35,0)</f>
        <v>0</v>
      </c>
      <c r="AN35" s="12">
        <v>21</v>
      </c>
      <c r="AO35" s="12">
        <f>H35*0.786784081</f>
        <v>0</v>
      </c>
      <c r="AP35" s="12">
        <f>H35*(1-0.786784081)</f>
        <v>0</v>
      </c>
      <c r="AQ35" s="11" t="s">
        <v>122</v>
      </c>
      <c r="AV35" s="12">
        <f>ROUND(AW35+AX35,2)</f>
        <v>0</v>
      </c>
      <c r="AW35" s="12">
        <f>ROUND(G35*AO35,2)</f>
        <v>0</v>
      </c>
      <c r="AX35" s="12">
        <f>ROUND(G35*AP35,2)</f>
        <v>0</v>
      </c>
      <c r="AY35" s="11" t="s">
        <v>172</v>
      </c>
      <c r="AZ35" s="11" t="s">
        <v>173</v>
      </c>
      <c r="BA35" s="41" t="s">
        <v>128</v>
      </c>
      <c r="BC35" s="12">
        <f>AW35+AX35</f>
        <v>0</v>
      </c>
      <c r="BD35" s="12">
        <f>H35/(100-BE35)*100</f>
        <v>0</v>
      </c>
      <c r="BE35" s="12">
        <v>0</v>
      </c>
      <c r="BF35" s="12">
        <f>35</f>
        <v>35</v>
      </c>
      <c r="BH35" s="12">
        <f>G35*AO35</f>
        <v>0</v>
      </c>
      <c r="BI35" s="12">
        <f>G35*AP35</f>
        <v>0</v>
      </c>
      <c r="BJ35" s="12">
        <f>G35*H35</f>
        <v>0</v>
      </c>
      <c r="BK35" s="12"/>
      <c r="BL35" s="12">
        <v>57</v>
      </c>
      <c r="BW35" s="12">
        <v>21</v>
      </c>
      <c r="BX35" s="57" t="s">
        <v>176</v>
      </c>
    </row>
    <row r="36" spans="1:76" x14ac:dyDescent="0.2">
      <c r="A36" s="1" t="s">
        <v>177</v>
      </c>
      <c r="B36" s="2" t="s">
        <v>18</v>
      </c>
      <c r="C36" s="2" t="s">
        <v>178</v>
      </c>
      <c r="D36" s="92" t="s">
        <v>179</v>
      </c>
      <c r="E36" s="86"/>
      <c r="F36" s="2" t="s">
        <v>180</v>
      </c>
      <c r="G36" s="12">
        <v>86.7</v>
      </c>
      <c r="H36" s="69">
        <v>0</v>
      </c>
      <c r="I36" s="69">
        <f>ROUND(G36*H36,2)</f>
        <v>0</v>
      </c>
      <c r="K36" s="45"/>
      <c r="Z36" s="12">
        <f>ROUND(IF(AQ36="5",BJ36,0),2)</f>
        <v>0</v>
      </c>
      <c r="AB36" s="12">
        <f>ROUND(IF(AQ36="1",BH36,0),2)</f>
        <v>0</v>
      </c>
      <c r="AC36" s="12">
        <f>ROUND(IF(AQ36="1",BI36,0),2)</f>
        <v>0</v>
      </c>
      <c r="AD36" s="12">
        <f>ROUND(IF(AQ36="7",BH36,0),2)</f>
        <v>0</v>
      </c>
      <c r="AE36" s="12">
        <f>ROUND(IF(AQ36="7",BI36,0),2)</f>
        <v>0</v>
      </c>
      <c r="AF36" s="12">
        <f>ROUND(IF(AQ36="2",BH36,0),2)</f>
        <v>0</v>
      </c>
      <c r="AG36" s="12">
        <f>ROUND(IF(AQ36="2",BI36,0),2)</f>
        <v>0</v>
      </c>
      <c r="AH36" s="12">
        <f>ROUND(IF(AQ36="0",BJ36,0),2)</f>
        <v>0</v>
      </c>
      <c r="AI36" s="41" t="s">
        <v>18</v>
      </c>
      <c r="AJ36" s="12">
        <f>IF(AN36=0,I36,0)</f>
        <v>0</v>
      </c>
      <c r="AK36" s="12">
        <f>IF(AN36=12,I36,0)</f>
        <v>0</v>
      </c>
      <c r="AL36" s="12">
        <f>IF(AN36=21,I36,0)</f>
        <v>0</v>
      </c>
      <c r="AN36" s="12">
        <v>21</v>
      </c>
      <c r="AO36" s="12">
        <f>H36*0.91489003</f>
        <v>0</v>
      </c>
      <c r="AP36" s="12">
        <f>H36*(1-0.91489003)</f>
        <v>0</v>
      </c>
      <c r="AQ36" s="11" t="s">
        <v>122</v>
      </c>
      <c r="AV36" s="12">
        <f>ROUND(AW36+AX36,2)</f>
        <v>0</v>
      </c>
      <c r="AW36" s="12">
        <f>ROUND(G36*AO36,2)</f>
        <v>0</v>
      </c>
      <c r="AX36" s="12">
        <f>ROUND(G36*AP36,2)</f>
        <v>0</v>
      </c>
      <c r="AY36" s="11" t="s">
        <v>172</v>
      </c>
      <c r="AZ36" s="11" t="s">
        <v>173</v>
      </c>
      <c r="BA36" s="41" t="s">
        <v>128</v>
      </c>
      <c r="BC36" s="12">
        <f>AW36+AX36</f>
        <v>0</v>
      </c>
      <c r="BD36" s="12">
        <f>H36/(100-BE36)*100</f>
        <v>0</v>
      </c>
      <c r="BE36" s="12">
        <v>0</v>
      </c>
      <c r="BF36" s="12">
        <f>36</f>
        <v>36</v>
      </c>
      <c r="BH36" s="12">
        <f>G36*AO36</f>
        <v>0</v>
      </c>
      <c r="BI36" s="12">
        <f>G36*AP36</f>
        <v>0</v>
      </c>
      <c r="BJ36" s="12">
        <f>G36*H36</f>
        <v>0</v>
      </c>
      <c r="BK36" s="12"/>
      <c r="BL36" s="12">
        <v>57</v>
      </c>
      <c r="BW36" s="12">
        <v>21</v>
      </c>
      <c r="BX36" s="57" t="s">
        <v>179</v>
      </c>
    </row>
    <row r="37" spans="1:76" x14ac:dyDescent="0.2">
      <c r="A37" s="50"/>
      <c r="D37" s="51" t="s">
        <v>181</v>
      </c>
      <c r="E37" s="51" t="s">
        <v>18</v>
      </c>
      <c r="G37" s="52">
        <v>86.7</v>
      </c>
      <c r="K37" s="45"/>
    </row>
    <row r="38" spans="1:76" x14ac:dyDescent="0.2">
      <c r="A38" s="48" t="s">
        <v>18</v>
      </c>
      <c r="B38" s="60" t="s">
        <v>18</v>
      </c>
      <c r="C38" s="60" t="s">
        <v>28</v>
      </c>
      <c r="D38" s="171" t="s">
        <v>29</v>
      </c>
      <c r="E38" s="172"/>
      <c r="F38" s="49" t="s">
        <v>3</v>
      </c>
      <c r="G38" s="49" t="s">
        <v>3</v>
      </c>
      <c r="H38" s="70" t="s">
        <v>3</v>
      </c>
      <c r="I38" s="62">
        <f>SUM(I39:I39)</f>
        <v>0</v>
      </c>
      <c r="K38" s="45"/>
      <c r="AI38" s="41" t="s">
        <v>18</v>
      </c>
      <c r="AS38" s="36">
        <f>SUM(AJ39:AJ39)</f>
        <v>0</v>
      </c>
      <c r="AT38" s="36">
        <f>SUM(AK39:AK39)</f>
        <v>0</v>
      </c>
      <c r="AU38" s="36">
        <f>SUM(AL39:AL39)</f>
        <v>0</v>
      </c>
    </row>
    <row r="39" spans="1:76" x14ac:dyDescent="0.2">
      <c r="A39" s="1" t="s">
        <v>182</v>
      </c>
      <c r="B39" s="2" t="s">
        <v>18</v>
      </c>
      <c r="C39" s="2" t="s">
        <v>183</v>
      </c>
      <c r="D39" s="92" t="s">
        <v>184</v>
      </c>
      <c r="E39" s="86"/>
      <c r="F39" s="2" t="s">
        <v>161</v>
      </c>
      <c r="G39" s="12">
        <v>23.8</v>
      </c>
      <c r="H39" s="69">
        <v>0</v>
      </c>
      <c r="I39" s="69">
        <f>ROUND(G39*H39,2)</f>
        <v>0</v>
      </c>
      <c r="K39" s="45"/>
      <c r="Z39" s="12">
        <f>ROUND(IF(AQ39="5",BJ39,0),2)</f>
        <v>0</v>
      </c>
      <c r="AB39" s="12">
        <f>ROUND(IF(AQ39="1",BH39,0),2)</f>
        <v>0</v>
      </c>
      <c r="AC39" s="12">
        <f>ROUND(IF(AQ39="1",BI39,0),2)</f>
        <v>0</v>
      </c>
      <c r="AD39" s="12">
        <f>ROUND(IF(AQ39="7",BH39,0),2)</f>
        <v>0</v>
      </c>
      <c r="AE39" s="12">
        <f>ROUND(IF(AQ39="7",BI39,0),2)</f>
        <v>0</v>
      </c>
      <c r="AF39" s="12">
        <f>ROUND(IF(AQ39="2",BH39,0),2)</f>
        <v>0</v>
      </c>
      <c r="AG39" s="12">
        <f>ROUND(IF(AQ39="2",BI39,0),2)</f>
        <v>0</v>
      </c>
      <c r="AH39" s="12">
        <f>ROUND(IF(AQ39="0",BJ39,0),2)</f>
        <v>0</v>
      </c>
      <c r="AI39" s="41" t="s">
        <v>18</v>
      </c>
      <c r="AJ39" s="12">
        <f>IF(AN39=0,I39,0)</f>
        <v>0</v>
      </c>
      <c r="AK39" s="12">
        <f>IF(AN39=12,I39,0)</f>
        <v>0</v>
      </c>
      <c r="AL39" s="12">
        <f>IF(AN39=21,I39,0)</f>
        <v>0</v>
      </c>
      <c r="AN39" s="12">
        <v>21</v>
      </c>
      <c r="AO39" s="12">
        <f>H39*0.867144892</f>
        <v>0</v>
      </c>
      <c r="AP39" s="12">
        <f>H39*(1-0.867144892)</f>
        <v>0</v>
      </c>
      <c r="AQ39" s="11" t="s">
        <v>122</v>
      </c>
      <c r="AV39" s="12">
        <f>ROUND(AW39+AX39,2)</f>
        <v>0</v>
      </c>
      <c r="AW39" s="12">
        <f>ROUND(G39*AO39,2)</f>
        <v>0</v>
      </c>
      <c r="AX39" s="12">
        <f>ROUND(G39*AP39,2)</f>
        <v>0</v>
      </c>
      <c r="AY39" s="11" t="s">
        <v>185</v>
      </c>
      <c r="AZ39" s="11" t="s">
        <v>173</v>
      </c>
      <c r="BA39" s="41" t="s">
        <v>128</v>
      </c>
      <c r="BC39" s="12">
        <f>AW39+AX39</f>
        <v>0</v>
      </c>
      <c r="BD39" s="12">
        <f>H39/(100-BE39)*100</f>
        <v>0</v>
      </c>
      <c r="BE39" s="12">
        <v>0</v>
      </c>
      <c r="BF39" s="12">
        <f>39</f>
        <v>39</v>
      </c>
      <c r="BH39" s="12">
        <f>G39*AO39</f>
        <v>0</v>
      </c>
      <c r="BI39" s="12">
        <f>G39*AP39</f>
        <v>0</v>
      </c>
      <c r="BJ39" s="12">
        <f>G39*H39</f>
        <v>0</v>
      </c>
      <c r="BK39" s="12"/>
      <c r="BL39" s="12">
        <v>59</v>
      </c>
      <c r="BW39" s="12">
        <v>21</v>
      </c>
      <c r="BX39" s="57" t="s">
        <v>184</v>
      </c>
    </row>
    <row r="40" spans="1:76" x14ac:dyDescent="0.2">
      <c r="A40" s="50"/>
      <c r="D40" s="51" t="s">
        <v>186</v>
      </c>
      <c r="E40" s="51" t="s">
        <v>18</v>
      </c>
      <c r="G40" s="52">
        <v>23.8</v>
      </c>
      <c r="K40" s="45"/>
    </row>
    <row r="41" spans="1:76" x14ac:dyDescent="0.2">
      <c r="A41" s="48" t="s">
        <v>18</v>
      </c>
      <c r="B41" s="60" t="s">
        <v>18</v>
      </c>
      <c r="C41" s="60" t="s">
        <v>30</v>
      </c>
      <c r="D41" s="171" t="s">
        <v>31</v>
      </c>
      <c r="E41" s="172"/>
      <c r="F41" s="49" t="s">
        <v>3</v>
      </c>
      <c r="G41" s="49" t="s">
        <v>3</v>
      </c>
      <c r="H41" s="70" t="s">
        <v>3</v>
      </c>
      <c r="I41" s="62">
        <f>SUM(I42:I44)</f>
        <v>0</v>
      </c>
      <c r="K41" s="45"/>
      <c r="AI41" s="41" t="s">
        <v>18</v>
      </c>
      <c r="AS41" s="36">
        <f>SUM(AJ42:AJ44)</f>
        <v>0</v>
      </c>
      <c r="AT41" s="36">
        <f>SUM(AK42:AK44)</f>
        <v>0</v>
      </c>
      <c r="AU41" s="36">
        <f>SUM(AL42:AL44)</f>
        <v>0</v>
      </c>
    </row>
    <row r="42" spans="1:76" x14ac:dyDescent="0.2">
      <c r="A42" s="1" t="s">
        <v>187</v>
      </c>
      <c r="B42" s="2" t="s">
        <v>18</v>
      </c>
      <c r="C42" s="2" t="s">
        <v>188</v>
      </c>
      <c r="D42" s="92" t="s">
        <v>189</v>
      </c>
      <c r="E42" s="86"/>
      <c r="F42" s="2" t="s">
        <v>143</v>
      </c>
      <c r="G42" s="12">
        <v>3</v>
      </c>
      <c r="H42" s="69">
        <v>0</v>
      </c>
      <c r="I42" s="69">
        <f>ROUND(G42*H42,2)</f>
        <v>0</v>
      </c>
      <c r="K42" s="45"/>
      <c r="Z42" s="12">
        <f>ROUND(IF(AQ42="5",BJ42,0),2)</f>
        <v>0</v>
      </c>
      <c r="AB42" s="12">
        <f>ROUND(IF(AQ42="1",BH42,0),2)</f>
        <v>0</v>
      </c>
      <c r="AC42" s="12">
        <f>ROUND(IF(AQ42="1",BI42,0),2)</f>
        <v>0</v>
      </c>
      <c r="AD42" s="12">
        <f>ROUND(IF(AQ42="7",BH42,0),2)</f>
        <v>0</v>
      </c>
      <c r="AE42" s="12">
        <f>ROUND(IF(AQ42="7",BI42,0),2)</f>
        <v>0</v>
      </c>
      <c r="AF42" s="12">
        <f>ROUND(IF(AQ42="2",BH42,0),2)</f>
        <v>0</v>
      </c>
      <c r="AG42" s="12">
        <f>ROUND(IF(AQ42="2",BI42,0),2)</f>
        <v>0</v>
      </c>
      <c r="AH42" s="12">
        <f>ROUND(IF(AQ42="0",BJ42,0),2)</f>
        <v>0</v>
      </c>
      <c r="AI42" s="41" t="s">
        <v>18</v>
      </c>
      <c r="AJ42" s="12">
        <f>IF(AN42=0,I42,0)</f>
        <v>0</v>
      </c>
      <c r="AK42" s="12">
        <f>IF(AN42=12,I42,0)</f>
        <v>0</v>
      </c>
      <c r="AL42" s="12">
        <f>IF(AN42=21,I42,0)</f>
        <v>0</v>
      </c>
      <c r="AN42" s="12">
        <v>21</v>
      </c>
      <c r="AO42" s="12">
        <f>H42*0.3184608</f>
        <v>0</v>
      </c>
      <c r="AP42" s="12">
        <f>H42*(1-0.3184608)</f>
        <v>0</v>
      </c>
      <c r="AQ42" s="11" t="s">
        <v>122</v>
      </c>
      <c r="AV42" s="12">
        <f>ROUND(AW42+AX42,2)</f>
        <v>0</v>
      </c>
      <c r="AW42" s="12">
        <f>ROUND(G42*AO42,2)</f>
        <v>0</v>
      </c>
      <c r="AX42" s="12">
        <f>ROUND(G42*AP42,2)</f>
        <v>0</v>
      </c>
      <c r="AY42" s="11" t="s">
        <v>190</v>
      </c>
      <c r="AZ42" s="11" t="s">
        <v>191</v>
      </c>
      <c r="BA42" s="41" t="s">
        <v>128</v>
      </c>
      <c r="BC42" s="12">
        <f>AW42+AX42</f>
        <v>0</v>
      </c>
      <c r="BD42" s="12">
        <f>H42/(100-BE42)*100</f>
        <v>0</v>
      </c>
      <c r="BE42" s="12">
        <v>0</v>
      </c>
      <c r="BF42" s="12">
        <f>42</f>
        <v>42</v>
      </c>
      <c r="BH42" s="12">
        <f>G42*AO42</f>
        <v>0</v>
      </c>
      <c r="BI42" s="12">
        <f>G42*AP42</f>
        <v>0</v>
      </c>
      <c r="BJ42" s="12">
        <f>G42*H42</f>
        <v>0</v>
      </c>
      <c r="BK42" s="12"/>
      <c r="BL42" s="12">
        <v>89</v>
      </c>
      <c r="BW42" s="12">
        <v>21</v>
      </c>
      <c r="BX42" s="57" t="s">
        <v>189</v>
      </c>
    </row>
    <row r="43" spans="1:76" x14ac:dyDescent="0.2">
      <c r="A43" s="1" t="s">
        <v>192</v>
      </c>
      <c r="B43" s="2" t="s">
        <v>18</v>
      </c>
      <c r="C43" s="2" t="s">
        <v>193</v>
      </c>
      <c r="D43" s="92" t="s">
        <v>194</v>
      </c>
      <c r="E43" s="86"/>
      <c r="F43" s="2" t="s">
        <v>143</v>
      </c>
      <c r="G43" s="12">
        <v>2</v>
      </c>
      <c r="H43" s="69">
        <v>0</v>
      </c>
      <c r="I43" s="69">
        <f>ROUND(G43*H43,2)</f>
        <v>0</v>
      </c>
      <c r="K43" s="45"/>
      <c r="Z43" s="12">
        <f>ROUND(IF(AQ43="5",BJ43,0),2)</f>
        <v>0</v>
      </c>
      <c r="AB43" s="12">
        <f>ROUND(IF(AQ43="1",BH43,0),2)</f>
        <v>0</v>
      </c>
      <c r="AC43" s="12">
        <f>ROUND(IF(AQ43="1",BI43,0),2)</f>
        <v>0</v>
      </c>
      <c r="AD43" s="12">
        <f>ROUND(IF(AQ43="7",BH43,0),2)</f>
        <v>0</v>
      </c>
      <c r="AE43" s="12">
        <f>ROUND(IF(AQ43="7",BI43,0),2)</f>
        <v>0</v>
      </c>
      <c r="AF43" s="12">
        <f>ROUND(IF(AQ43="2",BH43,0),2)</f>
        <v>0</v>
      </c>
      <c r="AG43" s="12">
        <f>ROUND(IF(AQ43="2",BI43,0),2)</f>
        <v>0</v>
      </c>
      <c r="AH43" s="12">
        <f>ROUND(IF(AQ43="0",BJ43,0),2)</f>
        <v>0</v>
      </c>
      <c r="AI43" s="41" t="s">
        <v>18</v>
      </c>
      <c r="AJ43" s="12">
        <f>IF(AN43=0,I43,0)</f>
        <v>0</v>
      </c>
      <c r="AK43" s="12">
        <f>IF(AN43=12,I43,0)</f>
        <v>0</v>
      </c>
      <c r="AL43" s="12">
        <f>IF(AN43=21,I43,0)</f>
        <v>0</v>
      </c>
      <c r="AN43" s="12">
        <v>21</v>
      </c>
      <c r="AO43" s="12">
        <f>H43*0.471971363</f>
        <v>0</v>
      </c>
      <c r="AP43" s="12">
        <f>H43*(1-0.471971363)</f>
        <v>0</v>
      </c>
      <c r="AQ43" s="11" t="s">
        <v>122</v>
      </c>
      <c r="AV43" s="12">
        <f>ROUND(AW43+AX43,2)</f>
        <v>0</v>
      </c>
      <c r="AW43" s="12">
        <f>ROUND(G43*AO43,2)</f>
        <v>0</v>
      </c>
      <c r="AX43" s="12">
        <f>ROUND(G43*AP43,2)</f>
        <v>0</v>
      </c>
      <c r="AY43" s="11" t="s">
        <v>190</v>
      </c>
      <c r="AZ43" s="11" t="s">
        <v>191</v>
      </c>
      <c r="BA43" s="41" t="s">
        <v>128</v>
      </c>
      <c r="BC43" s="12">
        <f>AW43+AX43</f>
        <v>0</v>
      </c>
      <c r="BD43" s="12">
        <f>H43/(100-BE43)*100</f>
        <v>0</v>
      </c>
      <c r="BE43" s="12">
        <v>0</v>
      </c>
      <c r="BF43" s="12">
        <f>43</f>
        <v>43</v>
      </c>
      <c r="BH43" s="12">
        <f>G43*AO43</f>
        <v>0</v>
      </c>
      <c r="BI43" s="12">
        <f>G43*AP43</f>
        <v>0</v>
      </c>
      <c r="BJ43" s="12">
        <f>G43*H43</f>
        <v>0</v>
      </c>
      <c r="BK43" s="12"/>
      <c r="BL43" s="12">
        <v>89</v>
      </c>
      <c r="BW43" s="12">
        <v>21</v>
      </c>
      <c r="BX43" s="57" t="s">
        <v>194</v>
      </c>
    </row>
    <row r="44" spans="1:76" x14ac:dyDescent="0.2">
      <c r="A44" s="1" t="s">
        <v>24</v>
      </c>
      <c r="B44" s="2" t="s">
        <v>18</v>
      </c>
      <c r="C44" s="2" t="s">
        <v>195</v>
      </c>
      <c r="D44" s="92" t="s">
        <v>196</v>
      </c>
      <c r="E44" s="86"/>
      <c r="F44" s="2" t="s">
        <v>143</v>
      </c>
      <c r="G44" s="12">
        <v>4</v>
      </c>
      <c r="H44" s="69">
        <v>0</v>
      </c>
      <c r="I44" s="69">
        <f>ROUND(G44*H44,2)</f>
        <v>0</v>
      </c>
      <c r="K44" s="45"/>
      <c r="Z44" s="12">
        <f>ROUND(IF(AQ44="5",BJ44,0),2)</f>
        <v>0</v>
      </c>
      <c r="AB44" s="12">
        <f>ROUND(IF(AQ44="1",BH44,0),2)</f>
        <v>0</v>
      </c>
      <c r="AC44" s="12">
        <f>ROUND(IF(AQ44="1",BI44,0),2)</f>
        <v>0</v>
      </c>
      <c r="AD44" s="12">
        <f>ROUND(IF(AQ44="7",BH44,0),2)</f>
        <v>0</v>
      </c>
      <c r="AE44" s="12">
        <f>ROUND(IF(AQ44="7",BI44,0),2)</f>
        <v>0</v>
      </c>
      <c r="AF44" s="12">
        <f>ROUND(IF(AQ44="2",BH44,0),2)</f>
        <v>0</v>
      </c>
      <c r="AG44" s="12">
        <f>ROUND(IF(AQ44="2",BI44,0),2)</f>
        <v>0</v>
      </c>
      <c r="AH44" s="12">
        <f>ROUND(IF(AQ44="0",BJ44,0),2)</f>
        <v>0</v>
      </c>
      <c r="AI44" s="41" t="s">
        <v>18</v>
      </c>
      <c r="AJ44" s="12">
        <f>IF(AN44=0,I44,0)</f>
        <v>0</v>
      </c>
      <c r="AK44" s="12">
        <f>IF(AN44=12,I44,0)</f>
        <v>0</v>
      </c>
      <c r="AL44" s="12">
        <f>IF(AN44=21,I44,0)</f>
        <v>0</v>
      </c>
      <c r="AN44" s="12">
        <v>21</v>
      </c>
      <c r="AO44" s="12">
        <f>H44*0.338885802</f>
        <v>0</v>
      </c>
      <c r="AP44" s="12">
        <f>H44*(1-0.338885802)</f>
        <v>0</v>
      </c>
      <c r="AQ44" s="11" t="s">
        <v>122</v>
      </c>
      <c r="AV44" s="12">
        <f>ROUND(AW44+AX44,2)</f>
        <v>0</v>
      </c>
      <c r="AW44" s="12">
        <f>ROUND(G44*AO44,2)</f>
        <v>0</v>
      </c>
      <c r="AX44" s="12">
        <f>ROUND(G44*AP44,2)</f>
        <v>0</v>
      </c>
      <c r="AY44" s="11" t="s">
        <v>190</v>
      </c>
      <c r="AZ44" s="11" t="s">
        <v>191</v>
      </c>
      <c r="BA44" s="41" t="s">
        <v>128</v>
      </c>
      <c r="BC44" s="12">
        <f>AW44+AX44</f>
        <v>0</v>
      </c>
      <c r="BD44" s="12">
        <f>H44/(100-BE44)*100</f>
        <v>0</v>
      </c>
      <c r="BE44" s="12">
        <v>0</v>
      </c>
      <c r="BF44" s="12">
        <f>44</f>
        <v>44</v>
      </c>
      <c r="BH44" s="12">
        <f>G44*AO44</f>
        <v>0</v>
      </c>
      <c r="BI44" s="12">
        <f>G44*AP44</f>
        <v>0</v>
      </c>
      <c r="BJ44" s="12">
        <f>G44*H44</f>
        <v>0</v>
      </c>
      <c r="BK44" s="12"/>
      <c r="BL44" s="12">
        <v>89</v>
      </c>
      <c r="BW44" s="12">
        <v>21</v>
      </c>
      <c r="BX44" s="57" t="s">
        <v>196</v>
      </c>
    </row>
    <row r="45" spans="1:76" x14ac:dyDescent="0.2">
      <c r="A45" s="48" t="s">
        <v>18</v>
      </c>
      <c r="B45" s="60" t="s">
        <v>18</v>
      </c>
      <c r="C45" s="60" t="s">
        <v>32</v>
      </c>
      <c r="D45" s="171" t="s">
        <v>33</v>
      </c>
      <c r="E45" s="172"/>
      <c r="F45" s="49" t="s">
        <v>3</v>
      </c>
      <c r="G45" s="49" t="s">
        <v>3</v>
      </c>
      <c r="H45" s="70" t="s">
        <v>3</v>
      </c>
      <c r="I45" s="62">
        <f>SUM(I46:I50)</f>
        <v>0</v>
      </c>
      <c r="K45" s="45"/>
      <c r="AI45" s="41" t="s">
        <v>18</v>
      </c>
      <c r="AS45" s="36">
        <f>SUM(AJ46:AJ50)</f>
        <v>0</v>
      </c>
      <c r="AT45" s="36">
        <f>SUM(AK46:AK50)</f>
        <v>0</v>
      </c>
      <c r="AU45" s="36">
        <f>SUM(AL46:AL50)</f>
        <v>0</v>
      </c>
    </row>
    <row r="46" spans="1:76" x14ac:dyDescent="0.2">
      <c r="A46" s="1" t="s">
        <v>197</v>
      </c>
      <c r="B46" s="2" t="s">
        <v>18</v>
      </c>
      <c r="C46" s="2" t="s">
        <v>198</v>
      </c>
      <c r="D46" s="92" t="s">
        <v>199</v>
      </c>
      <c r="E46" s="86"/>
      <c r="F46" s="2" t="s">
        <v>161</v>
      </c>
      <c r="G46" s="12">
        <v>23</v>
      </c>
      <c r="H46" s="69">
        <v>0</v>
      </c>
      <c r="I46" s="69">
        <f>ROUND(G46*H46,2)</f>
        <v>0</v>
      </c>
      <c r="K46" s="45"/>
      <c r="Z46" s="12">
        <f>ROUND(IF(AQ46="5",BJ46,0),2)</f>
        <v>0</v>
      </c>
      <c r="AB46" s="12">
        <f>ROUND(IF(AQ46="1",BH46,0),2)</f>
        <v>0</v>
      </c>
      <c r="AC46" s="12">
        <f>ROUND(IF(AQ46="1",BI46,0),2)</f>
        <v>0</v>
      </c>
      <c r="AD46" s="12">
        <f>ROUND(IF(AQ46="7",BH46,0),2)</f>
        <v>0</v>
      </c>
      <c r="AE46" s="12">
        <f>ROUND(IF(AQ46="7",BI46,0),2)</f>
        <v>0</v>
      </c>
      <c r="AF46" s="12">
        <f>ROUND(IF(AQ46="2",BH46,0),2)</f>
        <v>0</v>
      </c>
      <c r="AG46" s="12">
        <f>ROUND(IF(AQ46="2",BI46,0),2)</f>
        <v>0</v>
      </c>
      <c r="AH46" s="12">
        <f>ROUND(IF(AQ46="0",BJ46,0),2)</f>
        <v>0</v>
      </c>
      <c r="AI46" s="41" t="s">
        <v>18</v>
      </c>
      <c r="AJ46" s="12">
        <f>IF(AN46=0,I46,0)</f>
        <v>0</v>
      </c>
      <c r="AK46" s="12">
        <f>IF(AN46=12,I46,0)</f>
        <v>0</v>
      </c>
      <c r="AL46" s="12">
        <f>IF(AN46=21,I46,0)</f>
        <v>0</v>
      </c>
      <c r="AN46" s="12">
        <v>21</v>
      </c>
      <c r="AO46" s="12">
        <f>H46*0.556102708</f>
        <v>0</v>
      </c>
      <c r="AP46" s="12">
        <f>H46*(1-0.556102708)</f>
        <v>0</v>
      </c>
      <c r="AQ46" s="11" t="s">
        <v>122</v>
      </c>
      <c r="AV46" s="12">
        <f>ROUND(AW46+AX46,2)</f>
        <v>0</v>
      </c>
      <c r="AW46" s="12">
        <f>ROUND(G46*AO46,2)</f>
        <v>0</v>
      </c>
      <c r="AX46" s="12">
        <f>ROUND(G46*AP46,2)</f>
        <v>0</v>
      </c>
      <c r="AY46" s="11" t="s">
        <v>200</v>
      </c>
      <c r="AZ46" s="11" t="s">
        <v>201</v>
      </c>
      <c r="BA46" s="41" t="s">
        <v>128</v>
      </c>
      <c r="BC46" s="12">
        <f>AW46+AX46</f>
        <v>0</v>
      </c>
      <c r="BD46" s="12">
        <f>H46/(100-BE46)*100</f>
        <v>0</v>
      </c>
      <c r="BE46" s="12">
        <v>0</v>
      </c>
      <c r="BF46" s="12">
        <f>46</f>
        <v>46</v>
      </c>
      <c r="BH46" s="12">
        <f>G46*AO46</f>
        <v>0</v>
      </c>
      <c r="BI46" s="12">
        <f>G46*AP46</f>
        <v>0</v>
      </c>
      <c r="BJ46" s="12">
        <f>G46*H46</f>
        <v>0</v>
      </c>
      <c r="BK46" s="12"/>
      <c r="BL46" s="12">
        <v>91</v>
      </c>
      <c r="BW46" s="12">
        <v>21</v>
      </c>
      <c r="BX46" s="57" t="s">
        <v>199</v>
      </c>
    </row>
    <row r="47" spans="1:76" x14ac:dyDescent="0.2">
      <c r="A47" s="1" t="s">
        <v>202</v>
      </c>
      <c r="B47" s="2" t="s">
        <v>18</v>
      </c>
      <c r="C47" s="2" t="s">
        <v>203</v>
      </c>
      <c r="D47" s="92" t="s">
        <v>204</v>
      </c>
      <c r="E47" s="86"/>
      <c r="F47" s="2" t="s">
        <v>161</v>
      </c>
      <c r="G47" s="12">
        <v>4</v>
      </c>
      <c r="H47" s="69">
        <v>0</v>
      </c>
      <c r="I47" s="69">
        <f>ROUND(G47*H47,2)</f>
        <v>0</v>
      </c>
      <c r="K47" s="45"/>
      <c r="Z47" s="12">
        <f>ROUND(IF(AQ47="5",BJ47,0),2)</f>
        <v>0</v>
      </c>
      <c r="AB47" s="12">
        <f>ROUND(IF(AQ47="1",BH47,0),2)</f>
        <v>0</v>
      </c>
      <c r="AC47" s="12">
        <f>ROUND(IF(AQ47="1",BI47,0),2)</f>
        <v>0</v>
      </c>
      <c r="AD47" s="12">
        <f>ROUND(IF(AQ47="7",BH47,0),2)</f>
        <v>0</v>
      </c>
      <c r="AE47" s="12">
        <f>ROUND(IF(AQ47="7",BI47,0),2)</f>
        <v>0</v>
      </c>
      <c r="AF47" s="12">
        <f>ROUND(IF(AQ47="2",BH47,0),2)</f>
        <v>0</v>
      </c>
      <c r="AG47" s="12">
        <f>ROUND(IF(AQ47="2",BI47,0),2)</f>
        <v>0</v>
      </c>
      <c r="AH47" s="12">
        <f>ROUND(IF(AQ47="0",BJ47,0),2)</f>
        <v>0</v>
      </c>
      <c r="AI47" s="41" t="s">
        <v>18</v>
      </c>
      <c r="AJ47" s="12">
        <f>IF(AN47=0,I47,0)</f>
        <v>0</v>
      </c>
      <c r="AK47" s="12">
        <f>IF(AN47=12,I47,0)</f>
        <v>0</v>
      </c>
      <c r="AL47" s="12">
        <f>IF(AN47=21,I47,0)</f>
        <v>0</v>
      </c>
      <c r="AN47" s="12">
        <v>21</v>
      </c>
      <c r="AO47" s="12">
        <f>H47*0.505142857</f>
        <v>0</v>
      </c>
      <c r="AP47" s="12">
        <f>H47*(1-0.505142857)</f>
        <v>0</v>
      </c>
      <c r="AQ47" s="11" t="s">
        <v>122</v>
      </c>
      <c r="AV47" s="12">
        <f>ROUND(AW47+AX47,2)</f>
        <v>0</v>
      </c>
      <c r="AW47" s="12">
        <f>ROUND(G47*AO47,2)</f>
        <v>0</v>
      </c>
      <c r="AX47" s="12">
        <f>ROUND(G47*AP47,2)</f>
        <v>0</v>
      </c>
      <c r="AY47" s="11" t="s">
        <v>200</v>
      </c>
      <c r="AZ47" s="11" t="s">
        <v>201</v>
      </c>
      <c r="BA47" s="41" t="s">
        <v>128</v>
      </c>
      <c r="BC47" s="12">
        <f>AW47+AX47</f>
        <v>0</v>
      </c>
      <c r="BD47" s="12">
        <f>H47/(100-BE47)*100</f>
        <v>0</v>
      </c>
      <c r="BE47" s="12">
        <v>0</v>
      </c>
      <c r="BF47" s="12">
        <f>47</f>
        <v>47</v>
      </c>
      <c r="BH47" s="12">
        <f>G47*AO47</f>
        <v>0</v>
      </c>
      <c r="BI47" s="12">
        <f>G47*AP47</f>
        <v>0</v>
      </c>
      <c r="BJ47" s="12">
        <f>G47*H47</f>
        <v>0</v>
      </c>
      <c r="BK47" s="12"/>
      <c r="BL47" s="12">
        <v>91</v>
      </c>
      <c r="BW47" s="12">
        <v>21</v>
      </c>
      <c r="BX47" s="57" t="s">
        <v>204</v>
      </c>
    </row>
    <row r="48" spans="1:76" x14ac:dyDescent="0.2">
      <c r="A48" s="1" t="s">
        <v>205</v>
      </c>
      <c r="B48" s="2" t="s">
        <v>18</v>
      </c>
      <c r="C48" s="2" t="s">
        <v>206</v>
      </c>
      <c r="D48" s="92" t="s">
        <v>207</v>
      </c>
      <c r="E48" s="86"/>
      <c r="F48" s="2" t="s">
        <v>161</v>
      </c>
      <c r="G48" s="12">
        <v>25</v>
      </c>
      <c r="H48" s="69">
        <v>0</v>
      </c>
      <c r="I48" s="69">
        <f>ROUND(G48*H48,2)</f>
        <v>0</v>
      </c>
      <c r="K48" s="45"/>
      <c r="Z48" s="12">
        <f>ROUND(IF(AQ48="5",BJ48,0),2)</f>
        <v>0</v>
      </c>
      <c r="AB48" s="12">
        <f>ROUND(IF(AQ48="1",BH48,0),2)</f>
        <v>0</v>
      </c>
      <c r="AC48" s="12">
        <f>ROUND(IF(AQ48="1",BI48,0),2)</f>
        <v>0</v>
      </c>
      <c r="AD48" s="12">
        <f>ROUND(IF(AQ48="7",BH48,0),2)</f>
        <v>0</v>
      </c>
      <c r="AE48" s="12">
        <f>ROUND(IF(AQ48="7",BI48,0),2)</f>
        <v>0</v>
      </c>
      <c r="AF48" s="12">
        <f>ROUND(IF(AQ48="2",BH48,0),2)</f>
        <v>0</v>
      </c>
      <c r="AG48" s="12">
        <f>ROUND(IF(AQ48="2",BI48,0),2)</f>
        <v>0</v>
      </c>
      <c r="AH48" s="12">
        <f>ROUND(IF(AQ48="0",BJ48,0),2)</f>
        <v>0</v>
      </c>
      <c r="AI48" s="41" t="s">
        <v>18</v>
      </c>
      <c r="AJ48" s="12">
        <f>IF(AN48=0,I48,0)</f>
        <v>0</v>
      </c>
      <c r="AK48" s="12">
        <f>IF(AN48=12,I48,0)</f>
        <v>0</v>
      </c>
      <c r="AL48" s="12">
        <f>IF(AN48=21,I48,0)</f>
        <v>0</v>
      </c>
      <c r="AN48" s="12">
        <v>21</v>
      </c>
      <c r="AO48" s="12">
        <f>H48*0.733278111</f>
        <v>0</v>
      </c>
      <c r="AP48" s="12">
        <f>H48*(1-0.733278111)</f>
        <v>0</v>
      </c>
      <c r="AQ48" s="11" t="s">
        <v>122</v>
      </c>
      <c r="AV48" s="12">
        <f>ROUND(AW48+AX48,2)</f>
        <v>0</v>
      </c>
      <c r="AW48" s="12">
        <f>ROUND(G48*AO48,2)</f>
        <v>0</v>
      </c>
      <c r="AX48" s="12">
        <f>ROUND(G48*AP48,2)</f>
        <v>0</v>
      </c>
      <c r="AY48" s="11" t="s">
        <v>200</v>
      </c>
      <c r="AZ48" s="11" t="s">
        <v>201</v>
      </c>
      <c r="BA48" s="41" t="s">
        <v>128</v>
      </c>
      <c r="BC48" s="12">
        <f>AW48+AX48</f>
        <v>0</v>
      </c>
      <c r="BD48" s="12">
        <f>H48/(100-BE48)*100</f>
        <v>0</v>
      </c>
      <c r="BE48" s="12">
        <v>0</v>
      </c>
      <c r="BF48" s="12">
        <f>48</f>
        <v>48</v>
      </c>
      <c r="BH48" s="12">
        <f>G48*AO48</f>
        <v>0</v>
      </c>
      <c r="BI48" s="12">
        <f>G48*AP48</f>
        <v>0</v>
      </c>
      <c r="BJ48" s="12">
        <f>G48*H48</f>
        <v>0</v>
      </c>
      <c r="BK48" s="12"/>
      <c r="BL48" s="12">
        <v>91</v>
      </c>
      <c r="BW48" s="12">
        <v>21</v>
      </c>
      <c r="BX48" s="57" t="s">
        <v>207</v>
      </c>
    </row>
    <row r="49" spans="1:76" x14ac:dyDescent="0.2">
      <c r="A49" s="1" t="s">
        <v>208</v>
      </c>
      <c r="B49" s="2" t="s">
        <v>18</v>
      </c>
      <c r="C49" s="2" t="s">
        <v>209</v>
      </c>
      <c r="D49" s="92" t="s">
        <v>210</v>
      </c>
      <c r="E49" s="86"/>
      <c r="F49" s="2" t="s">
        <v>161</v>
      </c>
      <c r="G49" s="12">
        <v>25</v>
      </c>
      <c r="H49" s="69">
        <v>0</v>
      </c>
      <c r="I49" s="69">
        <f>ROUND(G49*H49,2)</f>
        <v>0</v>
      </c>
      <c r="K49" s="45"/>
      <c r="Z49" s="12">
        <f>ROUND(IF(AQ49="5",BJ49,0),2)</f>
        <v>0</v>
      </c>
      <c r="AB49" s="12">
        <f>ROUND(IF(AQ49="1",BH49,0),2)</f>
        <v>0</v>
      </c>
      <c r="AC49" s="12">
        <f>ROUND(IF(AQ49="1",BI49,0),2)</f>
        <v>0</v>
      </c>
      <c r="AD49" s="12">
        <f>ROUND(IF(AQ49="7",BH49,0),2)</f>
        <v>0</v>
      </c>
      <c r="AE49" s="12">
        <f>ROUND(IF(AQ49="7",BI49,0),2)</f>
        <v>0</v>
      </c>
      <c r="AF49" s="12">
        <f>ROUND(IF(AQ49="2",BH49,0),2)</f>
        <v>0</v>
      </c>
      <c r="AG49" s="12">
        <f>ROUND(IF(AQ49="2",BI49,0),2)</f>
        <v>0</v>
      </c>
      <c r="AH49" s="12">
        <f>ROUND(IF(AQ49="0",BJ49,0),2)</f>
        <v>0</v>
      </c>
      <c r="AI49" s="41" t="s">
        <v>18</v>
      </c>
      <c r="AJ49" s="12">
        <f>IF(AN49=0,I49,0)</f>
        <v>0</v>
      </c>
      <c r="AK49" s="12">
        <f>IF(AN49=12,I49,0)</f>
        <v>0</v>
      </c>
      <c r="AL49" s="12">
        <f>IF(AN49=21,I49,0)</f>
        <v>0</v>
      </c>
      <c r="AN49" s="12">
        <v>21</v>
      </c>
      <c r="AO49" s="12">
        <f>H49*0.09851552</f>
        <v>0</v>
      </c>
      <c r="AP49" s="12">
        <f>H49*(1-0.09851552)</f>
        <v>0</v>
      </c>
      <c r="AQ49" s="11" t="s">
        <v>122</v>
      </c>
      <c r="AV49" s="12">
        <f>ROUND(AW49+AX49,2)</f>
        <v>0</v>
      </c>
      <c r="AW49" s="12">
        <f>ROUND(G49*AO49,2)</f>
        <v>0</v>
      </c>
      <c r="AX49" s="12">
        <f>ROUND(G49*AP49,2)</f>
        <v>0</v>
      </c>
      <c r="AY49" s="11" t="s">
        <v>200</v>
      </c>
      <c r="AZ49" s="11" t="s">
        <v>201</v>
      </c>
      <c r="BA49" s="41" t="s">
        <v>128</v>
      </c>
      <c r="BC49" s="12">
        <f>AW49+AX49</f>
        <v>0</v>
      </c>
      <c r="BD49" s="12">
        <f>H49/(100-BE49)*100</f>
        <v>0</v>
      </c>
      <c r="BE49" s="12">
        <v>0</v>
      </c>
      <c r="BF49" s="12">
        <f>49</f>
        <v>49</v>
      </c>
      <c r="BH49" s="12">
        <f>G49*AO49</f>
        <v>0</v>
      </c>
      <c r="BI49" s="12">
        <f>G49*AP49</f>
        <v>0</v>
      </c>
      <c r="BJ49" s="12">
        <f>G49*H49</f>
        <v>0</v>
      </c>
      <c r="BK49" s="12"/>
      <c r="BL49" s="12">
        <v>91</v>
      </c>
      <c r="BW49" s="12">
        <v>21</v>
      </c>
      <c r="BX49" s="57" t="s">
        <v>210</v>
      </c>
    </row>
    <row r="50" spans="1:76" x14ac:dyDescent="0.2">
      <c r="A50" s="1" t="s">
        <v>211</v>
      </c>
      <c r="B50" s="2" t="s">
        <v>18</v>
      </c>
      <c r="C50" s="2" t="s">
        <v>212</v>
      </c>
      <c r="D50" s="92" t="s">
        <v>213</v>
      </c>
      <c r="E50" s="86"/>
      <c r="F50" s="2" t="s">
        <v>180</v>
      </c>
      <c r="G50" s="12">
        <v>238.012</v>
      </c>
      <c r="H50" s="69">
        <v>0</v>
      </c>
      <c r="I50" s="69">
        <f>ROUND(G50*H50,2)</f>
        <v>0</v>
      </c>
      <c r="K50" s="45"/>
      <c r="Z50" s="12">
        <f>ROUND(IF(AQ50="5",BJ50,0),2)</f>
        <v>0</v>
      </c>
      <c r="AB50" s="12">
        <f>ROUND(IF(AQ50="1",BH50,0),2)</f>
        <v>0</v>
      </c>
      <c r="AC50" s="12">
        <f>ROUND(IF(AQ50="1",BI50,0),2)</f>
        <v>0</v>
      </c>
      <c r="AD50" s="12">
        <f>ROUND(IF(AQ50="7",BH50,0),2)</f>
        <v>0</v>
      </c>
      <c r="AE50" s="12">
        <f>ROUND(IF(AQ50="7",BI50,0),2)</f>
        <v>0</v>
      </c>
      <c r="AF50" s="12">
        <f>ROUND(IF(AQ50="2",BH50,0),2)</f>
        <v>0</v>
      </c>
      <c r="AG50" s="12">
        <f>ROUND(IF(AQ50="2",BI50,0),2)</f>
        <v>0</v>
      </c>
      <c r="AH50" s="12">
        <f>ROUND(IF(AQ50="0",BJ50,0),2)</f>
        <v>0</v>
      </c>
      <c r="AI50" s="41" t="s">
        <v>18</v>
      </c>
      <c r="AJ50" s="12">
        <f>IF(AN50=0,I50,0)</f>
        <v>0</v>
      </c>
      <c r="AK50" s="12">
        <f>IF(AN50=12,I50,0)</f>
        <v>0</v>
      </c>
      <c r="AL50" s="12">
        <f>IF(AN50=21,I50,0)</f>
        <v>0</v>
      </c>
      <c r="AN50" s="12">
        <v>21</v>
      </c>
      <c r="AO50" s="12">
        <f>H50*0</f>
        <v>0</v>
      </c>
      <c r="AP50" s="12">
        <f>H50*(1-0)</f>
        <v>0</v>
      </c>
      <c r="AQ50" s="11" t="s">
        <v>138</v>
      </c>
      <c r="AV50" s="12">
        <f>ROUND(AW50+AX50,2)</f>
        <v>0</v>
      </c>
      <c r="AW50" s="12">
        <f>ROUND(G50*AO50,2)</f>
        <v>0</v>
      </c>
      <c r="AX50" s="12">
        <f>ROUND(G50*AP50,2)</f>
        <v>0</v>
      </c>
      <c r="AY50" s="11" t="s">
        <v>200</v>
      </c>
      <c r="AZ50" s="11" t="s">
        <v>201</v>
      </c>
      <c r="BA50" s="41" t="s">
        <v>128</v>
      </c>
      <c r="BC50" s="12">
        <f>AW50+AX50</f>
        <v>0</v>
      </c>
      <c r="BD50" s="12">
        <f>H50/(100-BE50)*100</f>
        <v>0</v>
      </c>
      <c r="BE50" s="12">
        <v>0</v>
      </c>
      <c r="BF50" s="12">
        <f>50</f>
        <v>50</v>
      </c>
      <c r="BH50" s="12">
        <f>G50*AO50</f>
        <v>0</v>
      </c>
      <c r="BI50" s="12">
        <f>G50*AP50</f>
        <v>0</v>
      </c>
      <c r="BJ50" s="12">
        <f>G50*H50</f>
        <v>0</v>
      </c>
      <c r="BK50" s="12"/>
      <c r="BL50" s="12">
        <v>91</v>
      </c>
      <c r="BW50" s="12">
        <v>21</v>
      </c>
      <c r="BX50" s="57" t="s">
        <v>213</v>
      </c>
    </row>
    <row r="51" spans="1:76" x14ac:dyDescent="0.2">
      <c r="A51" s="48" t="s">
        <v>18</v>
      </c>
      <c r="B51" s="60" t="s">
        <v>18</v>
      </c>
      <c r="C51" s="60" t="s">
        <v>34</v>
      </c>
      <c r="D51" s="171" t="s">
        <v>35</v>
      </c>
      <c r="E51" s="172"/>
      <c r="F51" s="49" t="s">
        <v>3</v>
      </c>
      <c r="G51" s="49" t="s">
        <v>3</v>
      </c>
      <c r="H51" s="70" t="s">
        <v>3</v>
      </c>
      <c r="I51" s="62">
        <f>SUM(I52:I66)</f>
        <v>0</v>
      </c>
      <c r="K51" s="45"/>
      <c r="AI51" s="41" t="s">
        <v>18</v>
      </c>
      <c r="AS51" s="36">
        <f>SUM(AJ52:AJ66)</f>
        <v>0</v>
      </c>
      <c r="AT51" s="36">
        <f>SUM(AK52:AK66)</f>
        <v>0</v>
      </c>
      <c r="AU51" s="36">
        <f>SUM(AL52:AL66)</f>
        <v>0</v>
      </c>
    </row>
    <row r="52" spans="1:76" x14ac:dyDescent="0.2">
      <c r="A52" s="1" t="s">
        <v>214</v>
      </c>
      <c r="B52" s="2" t="s">
        <v>18</v>
      </c>
      <c r="C52" s="2" t="s">
        <v>215</v>
      </c>
      <c r="D52" s="92" t="s">
        <v>216</v>
      </c>
      <c r="E52" s="86"/>
      <c r="F52" s="2" t="s">
        <v>180</v>
      </c>
      <c r="G52" s="12">
        <v>77.016000000000005</v>
      </c>
      <c r="H52" s="69">
        <v>0</v>
      </c>
      <c r="I52" s="69">
        <f>ROUND(G52*H52,2)</f>
        <v>0</v>
      </c>
      <c r="K52" s="45"/>
      <c r="Z52" s="12">
        <f>ROUND(IF(AQ52="5",BJ52,0),2)</f>
        <v>0</v>
      </c>
      <c r="AB52" s="12">
        <f>ROUND(IF(AQ52="1",BH52,0),2)</f>
        <v>0</v>
      </c>
      <c r="AC52" s="12">
        <f>ROUND(IF(AQ52="1",BI52,0),2)</f>
        <v>0</v>
      </c>
      <c r="AD52" s="12">
        <f>ROUND(IF(AQ52="7",BH52,0),2)</f>
        <v>0</v>
      </c>
      <c r="AE52" s="12">
        <f>ROUND(IF(AQ52="7",BI52,0),2)</f>
        <v>0</v>
      </c>
      <c r="AF52" s="12">
        <f>ROUND(IF(AQ52="2",BH52,0),2)</f>
        <v>0</v>
      </c>
      <c r="AG52" s="12">
        <f>ROUND(IF(AQ52="2",BI52,0),2)</f>
        <v>0</v>
      </c>
      <c r="AH52" s="12">
        <f>ROUND(IF(AQ52="0",BJ52,0),2)</f>
        <v>0</v>
      </c>
      <c r="AI52" s="41" t="s">
        <v>18</v>
      </c>
      <c r="AJ52" s="12">
        <f>IF(AN52=0,I52,0)</f>
        <v>0</v>
      </c>
      <c r="AK52" s="12">
        <f>IF(AN52=12,I52,0)</f>
        <v>0</v>
      </c>
      <c r="AL52" s="12">
        <f>IF(AN52=21,I52,0)</f>
        <v>0</v>
      </c>
      <c r="AN52" s="12">
        <v>21</v>
      </c>
      <c r="AO52" s="12">
        <f>H52*0</f>
        <v>0</v>
      </c>
      <c r="AP52" s="12">
        <f>H52*(1-0)</f>
        <v>0</v>
      </c>
      <c r="AQ52" s="11" t="s">
        <v>138</v>
      </c>
      <c r="AV52" s="12">
        <f>ROUND(AW52+AX52,2)</f>
        <v>0</v>
      </c>
      <c r="AW52" s="12">
        <f>ROUND(G52*AO52,2)</f>
        <v>0</v>
      </c>
      <c r="AX52" s="12">
        <f>ROUND(G52*AP52,2)</f>
        <v>0</v>
      </c>
      <c r="AY52" s="11" t="s">
        <v>217</v>
      </c>
      <c r="AZ52" s="11" t="s">
        <v>201</v>
      </c>
      <c r="BA52" s="41" t="s">
        <v>128</v>
      </c>
      <c r="BC52" s="12">
        <f>AW52+AX52</f>
        <v>0</v>
      </c>
      <c r="BD52" s="12">
        <f>H52/(100-BE52)*100</f>
        <v>0</v>
      </c>
      <c r="BE52" s="12">
        <v>0</v>
      </c>
      <c r="BF52" s="12">
        <f>52</f>
        <v>52</v>
      </c>
      <c r="BH52" s="12">
        <f>G52*AO52</f>
        <v>0</v>
      </c>
      <c r="BI52" s="12">
        <f>G52*AP52</f>
        <v>0</v>
      </c>
      <c r="BJ52" s="12">
        <f>G52*H52</f>
        <v>0</v>
      </c>
      <c r="BK52" s="12"/>
      <c r="BL52" s="12"/>
      <c r="BW52" s="12">
        <v>21</v>
      </c>
      <c r="BX52" s="57" t="s">
        <v>216</v>
      </c>
    </row>
    <row r="53" spans="1:76" x14ac:dyDescent="0.2">
      <c r="A53" s="50"/>
      <c r="D53" s="51" t="s">
        <v>218</v>
      </c>
      <c r="E53" s="51" t="s">
        <v>18</v>
      </c>
      <c r="G53" s="52">
        <v>0</v>
      </c>
      <c r="K53" s="45"/>
    </row>
    <row r="54" spans="1:76" x14ac:dyDescent="0.2">
      <c r="A54" s="50"/>
      <c r="D54" s="51" t="s">
        <v>219</v>
      </c>
      <c r="E54" s="51" t="s">
        <v>18</v>
      </c>
      <c r="G54" s="52">
        <v>76.296000000000006</v>
      </c>
      <c r="K54" s="45"/>
    </row>
    <row r="55" spans="1:76" x14ac:dyDescent="0.2">
      <c r="A55" s="50"/>
      <c r="D55" s="51" t="s">
        <v>220</v>
      </c>
      <c r="E55" s="51" t="s">
        <v>18</v>
      </c>
      <c r="G55" s="52">
        <v>0</v>
      </c>
      <c r="K55" s="45"/>
    </row>
    <row r="56" spans="1:76" x14ac:dyDescent="0.2">
      <c r="A56" s="50"/>
      <c r="D56" s="51" t="s">
        <v>221</v>
      </c>
      <c r="E56" s="51" t="s">
        <v>18</v>
      </c>
      <c r="G56" s="52">
        <v>0.72</v>
      </c>
      <c r="K56" s="45"/>
    </row>
    <row r="57" spans="1:76" x14ac:dyDescent="0.2">
      <c r="A57" s="1" t="s">
        <v>222</v>
      </c>
      <c r="B57" s="2" t="s">
        <v>18</v>
      </c>
      <c r="C57" s="2" t="s">
        <v>223</v>
      </c>
      <c r="D57" s="92" t="s">
        <v>224</v>
      </c>
      <c r="E57" s="86"/>
      <c r="F57" s="2" t="s">
        <v>180</v>
      </c>
      <c r="G57" s="12">
        <v>1222.896</v>
      </c>
      <c r="H57" s="69">
        <v>0</v>
      </c>
      <c r="I57" s="69">
        <f>ROUND(G57*H57,2)</f>
        <v>0</v>
      </c>
      <c r="K57" s="45"/>
      <c r="Z57" s="12">
        <f>ROUND(IF(AQ57="5",BJ57,0),2)</f>
        <v>0</v>
      </c>
      <c r="AB57" s="12">
        <f>ROUND(IF(AQ57="1",BH57,0),2)</f>
        <v>0</v>
      </c>
      <c r="AC57" s="12">
        <f>ROUND(IF(AQ57="1",BI57,0),2)</f>
        <v>0</v>
      </c>
      <c r="AD57" s="12">
        <f>ROUND(IF(AQ57="7",BH57,0),2)</f>
        <v>0</v>
      </c>
      <c r="AE57" s="12">
        <f>ROUND(IF(AQ57="7",BI57,0),2)</f>
        <v>0</v>
      </c>
      <c r="AF57" s="12">
        <f>ROUND(IF(AQ57="2",BH57,0),2)</f>
        <v>0</v>
      </c>
      <c r="AG57" s="12">
        <f>ROUND(IF(AQ57="2",BI57,0),2)</f>
        <v>0</v>
      </c>
      <c r="AH57" s="12">
        <f>ROUND(IF(AQ57="0",BJ57,0),2)</f>
        <v>0</v>
      </c>
      <c r="AI57" s="41" t="s">
        <v>18</v>
      </c>
      <c r="AJ57" s="12">
        <f>IF(AN57=0,I57,0)</f>
        <v>0</v>
      </c>
      <c r="AK57" s="12">
        <f>IF(AN57=12,I57,0)</f>
        <v>0</v>
      </c>
      <c r="AL57" s="12">
        <f>IF(AN57=21,I57,0)</f>
        <v>0</v>
      </c>
      <c r="AN57" s="12">
        <v>21</v>
      </c>
      <c r="AO57" s="12">
        <f>H57*0</f>
        <v>0</v>
      </c>
      <c r="AP57" s="12">
        <f>H57*(1-0)</f>
        <v>0</v>
      </c>
      <c r="AQ57" s="11" t="s">
        <v>138</v>
      </c>
      <c r="AV57" s="12">
        <f>ROUND(AW57+AX57,2)</f>
        <v>0</v>
      </c>
      <c r="AW57" s="12">
        <f>ROUND(G57*AO57,2)</f>
        <v>0</v>
      </c>
      <c r="AX57" s="12">
        <f>ROUND(G57*AP57,2)</f>
        <v>0</v>
      </c>
      <c r="AY57" s="11" t="s">
        <v>217</v>
      </c>
      <c r="AZ57" s="11" t="s">
        <v>201</v>
      </c>
      <c r="BA57" s="41" t="s">
        <v>128</v>
      </c>
      <c r="BC57" s="12">
        <f>AW57+AX57</f>
        <v>0</v>
      </c>
      <c r="BD57" s="12">
        <f>H57/(100-BE57)*100</f>
        <v>0</v>
      </c>
      <c r="BE57" s="12">
        <v>0</v>
      </c>
      <c r="BF57" s="12">
        <f>57</f>
        <v>57</v>
      </c>
      <c r="BH57" s="12">
        <f>G57*AO57</f>
        <v>0</v>
      </c>
      <c r="BI57" s="12">
        <f>G57*AP57</f>
        <v>0</v>
      </c>
      <c r="BJ57" s="12">
        <f>G57*H57</f>
        <v>0</v>
      </c>
      <c r="BK57" s="12"/>
      <c r="BL57" s="12"/>
      <c r="BW57" s="12">
        <v>21</v>
      </c>
      <c r="BX57" s="57" t="s">
        <v>224</v>
      </c>
    </row>
    <row r="58" spans="1:76" x14ac:dyDescent="0.2">
      <c r="A58" s="50"/>
      <c r="D58" s="51" t="s">
        <v>225</v>
      </c>
      <c r="E58" s="51" t="s">
        <v>18</v>
      </c>
      <c r="G58" s="52">
        <v>2.16</v>
      </c>
      <c r="K58" s="45"/>
    </row>
    <row r="59" spans="1:76" x14ac:dyDescent="0.2">
      <c r="A59" s="50"/>
      <c r="D59" s="51" t="s">
        <v>226</v>
      </c>
      <c r="E59" s="51" t="s">
        <v>18</v>
      </c>
      <c r="G59" s="52">
        <v>1220.7360000000001</v>
      </c>
      <c r="K59" s="45"/>
    </row>
    <row r="60" spans="1:76" x14ac:dyDescent="0.2">
      <c r="A60" s="1" t="s">
        <v>227</v>
      </c>
      <c r="B60" s="2" t="s">
        <v>18</v>
      </c>
      <c r="C60" s="2" t="s">
        <v>228</v>
      </c>
      <c r="D60" s="92" t="s">
        <v>229</v>
      </c>
      <c r="E60" s="86"/>
      <c r="F60" s="2" t="s">
        <v>180</v>
      </c>
      <c r="G60" s="12">
        <v>0.72</v>
      </c>
      <c r="H60" s="69">
        <v>0</v>
      </c>
      <c r="I60" s="69">
        <f>ROUND(G60*H60,2)</f>
        <v>0</v>
      </c>
      <c r="K60" s="45"/>
      <c r="Z60" s="12">
        <f>ROUND(IF(AQ60="5",BJ60,0),2)</f>
        <v>0</v>
      </c>
      <c r="AB60" s="12">
        <f>ROUND(IF(AQ60="1",BH60,0),2)</f>
        <v>0</v>
      </c>
      <c r="AC60" s="12">
        <f>ROUND(IF(AQ60="1",BI60,0),2)</f>
        <v>0</v>
      </c>
      <c r="AD60" s="12">
        <f>ROUND(IF(AQ60="7",BH60,0),2)</f>
        <v>0</v>
      </c>
      <c r="AE60" s="12">
        <f>ROUND(IF(AQ60="7",BI60,0),2)</f>
        <v>0</v>
      </c>
      <c r="AF60" s="12">
        <f>ROUND(IF(AQ60="2",BH60,0),2)</f>
        <v>0</v>
      </c>
      <c r="AG60" s="12">
        <f>ROUND(IF(AQ60="2",BI60,0),2)</f>
        <v>0</v>
      </c>
      <c r="AH60" s="12">
        <f>ROUND(IF(AQ60="0",BJ60,0),2)</f>
        <v>0</v>
      </c>
      <c r="AI60" s="41" t="s">
        <v>18</v>
      </c>
      <c r="AJ60" s="12">
        <f>IF(AN60=0,I60,0)</f>
        <v>0</v>
      </c>
      <c r="AK60" s="12">
        <f>IF(AN60=12,I60,0)</f>
        <v>0</v>
      </c>
      <c r="AL60" s="12">
        <f>IF(AN60=21,I60,0)</f>
        <v>0</v>
      </c>
      <c r="AN60" s="12">
        <v>21</v>
      </c>
      <c r="AO60" s="12">
        <f>H60*0</f>
        <v>0</v>
      </c>
      <c r="AP60" s="12">
        <f>H60*(1-0)</f>
        <v>0</v>
      </c>
      <c r="AQ60" s="11" t="s">
        <v>138</v>
      </c>
      <c r="AV60" s="12">
        <f>ROUND(AW60+AX60,2)</f>
        <v>0</v>
      </c>
      <c r="AW60" s="12">
        <f>ROUND(G60*AO60,2)</f>
        <v>0</v>
      </c>
      <c r="AX60" s="12">
        <f>ROUND(G60*AP60,2)</f>
        <v>0</v>
      </c>
      <c r="AY60" s="11" t="s">
        <v>217</v>
      </c>
      <c r="AZ60" s="11" t="s">
        <v>201</v>
      </c>
      <c r="BA60" s="41" t="s">
        <v>128</v>
      </c>
      <c r="BC60" s="12">
        <f>AW60+AX60</f>
        <v>0</v>
      </c>
      <c r="BD60" s="12">
        <f>H60/(100-BE60)*100</f>
        <v>0</v>
      </c>
      <c r="BE60" s="12">
        <v>0</v>
      </c>
      <c r="BF60" s="12">
        <f>60</f>
        <v>60</v>
      </c>
      <c r="BH60" s="12">
        <f>G60*AO60</f>
        <v>0</v>
      </c>
      <c r="BI60" s="12">
        <f>G60*AP60</f>
        <v>0</v>
      </c>
      <c r="BJ60" s="12">
        <f>G60*H60</f>
        <v>0</v>
      </c>
      <c r="BK60" s="12"/>
      <c r="BL60" s="12"/>
      <c r="BW60" s="12">
        <v>21</v>
      </c>
      <c r="BX60" s="57" t="s">
        <v>229</v>
      </c>
    </row>
    <row r="61" spans="1:76" x14ac:dyDescent="0.2">
      <c r="A61" s="50"/>
      <c r="D61" s="51" t="s">
        <v>221</v>
      </c>
      <c r="E61" s="51" t="s">
        <v>18</v>
      </c>
      <c r="G61" s="52">
        <v>0.72</v>
      </c>
      <c r="K61" s="45"/>
    </row>
    <row r="62" spans="1:76" x14ac:dyDescent="0.2">
      <c r="A62" s="1" t="s">
        <v>230</v>
      </c>
      <c r="B62" s="2" t="s">
        <v>18</v>
      </c>
      <c r="C62" s="2" t="s">
        <v>231</v>
      </c>
      <c r="D62" s="92" t="s">
        <v>232</v>
      </c>
      <c r="E62" s="86"/>
      <c r="F62" s="2" t="s">
        <v>180</v>
      </c>
      <c r="G62" s="12">
        <v>2.2999999999999998</v>
      </c>
      <c r="H62" s="69">
        <v>0</v>
      </c>
      <c r="I62" s="69">
        <f>ROUND(G62*H62,2)</f>
        <v>0</v>
      </c>
      <c r="K62" s="45"/>
      <c r="Z62" s="12">
        <f>ROUND(IF(AQ62="5",BJ62,0),2)</f>
        <v>0</v>
      </c>
      <c r="AB62" s="12">
        <f>ROUND(IF(AQ62="1",BH62,0),2)</f>
        <v>0</v>
      </c>
      <c r="AC62" s="12">
        <f>ROUND(IF(AQ62="1",BI62,0),2)</f>
        <v>0</v>
      </c>
      <c r="AD62" s="12">
        <f>ROUND(IF(AQ62="7",BH62,0),2)</f>
        <v>0</v>
      </c>
      <c r="AE62" s="12">
        <f>ROUND(IF(AQ62="7",BI62,0),2)</f>
        <v>0</v>
      </c>
      <c r="AF62" s="12">
        <f>ROUND(IF(AQ62="2",BH62,0),2)</f>
        <v>0</v>
      </c>
      <c r="AG62" s="12">
        <f>ROUND(IF(AQ62="2",BI62,0),2)</f>
        <v>0</v>
      </c>
      <c r="AH62" s="12">
        <f>ROUND(IF(AQ62="0",BJ62,0),2)</f>
        <v>0</v>
      </c>
      <c r="AI62" s="41" t="s">
        <v>18</v>
      </c>
      <c r="AJ62" s="12">
        <f>IF(AN62=0,I62,0)</f>
        <v>0</v>
      </c>
      <c r="AK62" s="12">
        <f>IF(AN62=12,I62,0)</f>
        <v>0</v>
      </c>
      <c r="AL62" s="12">
        <f>IF(AN62=21,I62,0)</f>
        <v>0</v>
      </c>
      <c r="AN62" s="12">
        <v>21</v>
      </c>
      <c r="AO62" s="12">
        <f>H62*0</f>
        <v>0</v>
      </c>
      <c r="AP62" s="12">
        <f>H62*(1-0)</f>
        <v>0</v>
      </c>
      <c r="AQ62" s="11" t="s">
        <v>138</v>
      </c>
      <c r="AV62" s="12">
        <f>ROUND(AW62+AX62,2)</f>
        <v>0</v>
      </c>
      <c r="AW62" s="12">
        <f>ROUND(G62*AO62,2)</f>
        <v>0</v>
      </c>
      <c r="AX62" s="12">
        <f>ROUND(G62*AP62,2)</f>
        <v>0</v>
      </c>
      <c r="AY62" s="11" t="s">
        <v>217</v>
      </c>
      <c r="AZ62" s="11" t="s">
        <v>201</v>
      </c>
      <c r="BA62" s="41" t="s">
        <v>128</v>
      </c>
      <c r="BC62" s="12">
        <f>AW62+AX62</f>
        <v>0</v>
      </c>
      <c r="BD62" s="12">
        <f>H62/(100-BE62)*100</f>
        <v>0</v>
      </c>
      <c r="BE62" s="12">
        <v>0</v>
      </c>
      <c r="BF62" s="12">
        <f>62</f>
        <v>62</v>
      </c>
      <c r="BH62" s="12">
        <f>G62*AO62</f>
        <v>0</v>
      </c>
      <c r="BI62" s="12">
        <f>G62*AP62</f>
        <v>0</v>
      </c>
      <c r="BJ62" s="12">
        <f>G62*H62</f>
        <v>0</v>
      </c>
      <c r="BK62" s="12"/>
      <c r="BL62" s="12"/>
      <c r="BW62" s="12">
        <v>21</v>
      </c>
      <c r="BX62" s="57" t="s">
        <v>232</v>
      </c>
    </row>
    <row r="63" spans="1:76" x14ac:dyDescent="0.2">
      <c r="A63" s="50"/>
      <c r="D63" s="51" t="s">
        <v>233</v>
      </c>
      <c r="E63" s="51" t="s">
        <v>18</v>
      </c>
      <c r="G63" s="52">
        <v>0</v>
      </c>
      <c r="K63" s="45"/>
    </row>
    <row r="64" spans="1:76" x14ac:dyDescent="0.2">
      <c r="A64" s="50"/>
      <c r="D64" s="51" t="s">
        <v>234</v>
      </c>
      <c r="E64" s="51" t="s">
        <v>18</v>
      </c>
      <c r="G64" s="52">
        <v>2.2999999999999998</v>
      </c>
      <c r="K64" s="45"/>
    </row>
    <row r="65" spans="1:76" x14ac:dyDescent="0.2">
      <c r="A65" s="1" t="s">
        <v>235</v>
      </c>
      <c r="B65" s="2" t="s">
        <v>18</v>
      </c>
      <c r="C65" s="2" t="s">
        <v>236</v>
      </c>
      <c r="D65" s="92" t="s">
        <v>242</v>
      </c>
      <c r="E65" s="86"/>
      <c r="F65" s="2" t="s">
        <v>180</v>
      </c>
      <c r="G65" s="12">
        <v>76.296000000000006</v>
      </c>
      <c r="H65" s="69">
        <v>0</v>
      </c>
      <c r="I65" s="69">
        <f>ROUND(G65*H65,2)</f>
        <v>0</v>
      </c>
      <c r="K65" s="45"/>
      <c r="Z65" s="12">
        <f>ROUND(IF(AQ65="5",BJ65,0),2)</f>
        <v>0</v>
      </c>
      <c r="AB65" s="12">
        <f>ROUND(IF(AQ65="1",BH65,0),2)</f>
        <v>0</v>
      </c>
      <c r="AC65" s="12">
        <f>ROUND(IF(AQ65="1",BI65,0),2)</f>
        <v>0</v>
      </c>
      <c r="AD65" s="12">
        <f>ROUND(IF(AQ65="7",BH65,0),2)</f>
        <v>0</v>
      </c>
      <c r="AE65" s="12">
        <f>ROUND(IF(AQ65="7",BI65,0),2)</f>
        <v>0</v>
      </c>
      <c r="AF65" s="12">
        <f>ROUND(IF(AQ65="2",BH65,0),2)</f>
        <v>0</v>
      </c>
      <c r="AG65" s="12">
        <f>ROUND(IF(AQ65="2",BI65,0),2)</f>
        <v>0</v>
      </c>
      <c r="AH65" s="12">
        <f>ROUND(IF(AQ65="0",BJ65,0),2)</f>
        <v>0</v>
      </c>
      <c r="AI65" s="41" t="s">
        <v>18</v>
      </c>
      <c r="AJ65" s="12">
        <f>IF(AN65=0,I65,0)</f>
        <v>0</v>
      </c>
      <c r="AK65" s="12">
        <f>IF(AN65=12,I65,0)</f>
        <v>0</v>
      </c>
      <c r="AL65" s="12">
        <f>IF(AN65=21,I65,0)</f>
        <v>0</v>
      </c>
      <c r="AN65" s="12">
        <v>21</v>
      </c>
      <c r="AO65" s="12">
        <f>H65*0</f>
        <v>0</v>
      </c>
      <c r="AP65" s="12">
        <f>H65*(1-0)</f>
        <v>0</v>
      </c>
      <c r="AQ65" s="11" t="s">
        <v>138</v>
      </c>
      <c r="AV65" s="12">
        <f>ROUND(AW65+AX65,2)</f>
        <v>0</v>
      </c>
      <c r="AW65" s="12">
        <f>ROUND(G65*AO65,2)</f>
        <v>0</v>
      </c>
      <c r="AX65" s="12">
        <f>ROUND(G65*AP65,2)</f>
        <v>0</v>
      </c>
      <c r="AY65" s="11" t="s">
        <v>217</v>
      </c>
      <c r="AZ65" s="11" t="s">
        <v>201</v>
      </c>
      <c r="BA65" s="41" t="s">
        <v>128</v>
      </c>
      <c r="BC65" s="12">
        <f>AW65+AX65</f>
        <v>0</v>
      </c>
      <c r="BD65" s="12">
        <f>H65/(100-BE65)*100</f>
        <v>0</v>
      </c>
      <c r="BE65" s="12">
        <v>0</v>
      </c>
      <c r="BF65" s="12">
        <f>65</f>
        <v>65</v>
      </c>
      <c r="BH65" s="12">
        <f>G65*AO65</f>
        <v>0</v>
      </c>
      <c r="BI65" s="12">
        <f>G65*AP65</f>
        <v>0</v>
      </c>
      <c r="BJ65" s="12">
        <f>G65*H65</f>
        <v>0</v>
      </c>
      <c r="BK65" s="12"/>
      <c r="BL65" s="12"/>
      <c r="BW65" s="12">
        <v>21</v>
      </c>
      <c r="BX65" s="57" t="s">
        <v>237</v>
      </c>
    </row>
    <row r="66" spans="1:76" x14ac:dyDescent="0.2">
      <c r="A66" s="58" t="s">
        <v>238</v>
      </c>
      <c r="B66" s="56" t="s">
        <v>18</v>
      </c>
      <c r="C66" s="56" t="s">
        <v>239</v>
      </c>
      <c r="D66" s="173" t="s">
        <v>240</v>
      </c>
      <c r="E66" s="90"/>
      <c r="F66" s="56" t="s">
        <v>180</v>
      </c>
      <c r="G66" s="53">
        <v>-101.72799999999999</v>
      </c>
      <c r="H66" s="71">
        <v>0</v>
      </c>
      <c r="I66" s="71">
        <f>ROUND(G66*H66,2)</f>
        <v>0</v>
      </c>
      <c r="J66" s="81"/>
      <c r="K66" s="54"/>
      <c r="Z66" s="12">
        <f>ROUND(IF(AQ66="5",BJ66,0),2)</f>
        <v>0</v>
      </c>
      <c r="AB66" s="12">
        <f>ROUND(IF(AQ66="1",BH66,0),2)</f>
        <v>0</v>
      </c>
      <c r="AC66" s="12">
        <f>ROUND(IF(AQ66="1",BI66,0),2)</f>
        <v>0</v>
      </c>
      <c r="AD66" s="12">
        <f>ROUND(IF(AQ66="7",BH66,0),2)</f>
        <v>0</v>
      </c>
      <c r="AE66" s="12">
        <f>ROUND(IF(AQ66="7",BI66,0),2)</f>
        <v>0</v>
      </c>
      <c r="AF66" s="12">
        <f>ROUND(IF(AQ66="2",BH66,0),2)</f>
        <v>0</v>
      </c>
      <c r="AG66" s="12">
        <f>ROUND(IF(AQ66="2",BI66,0),2)</f>
        <v>0</v>
      </c>
      <c r="AH66" s="12">
        <f>ROUND(IF(AQ66="0",BJ66,0),2)</f>
        <v>0</v>
      </c>
      <c r="AI66" s="41" t="s">
        <v>18</v>
      </c>
      <c r="AJ66" s="12">
        <f>IF(AN66=0,I66,0)</f>
        <v>0</v>
      </c>
      <c r="AK66" s="12">
        <f>IF(AN66=12,I66,0)</f>
        <v>0</v>
      </c>
      <c r="AL66" s="12">
        <f>IF(AN66=21,I66,0)</f>
        <v>0</v>
      </c>
      <c r="AN66" s="12">
        <v>21</v>
      </c>
      <c r="AO66" s="12">
        <f>H66*0</f>
        <v>0</v>
      </c>
      <c r="AP66" s="12">
        <f>H66*(1-0)</f>
        <v>0</v>
      </c>
      <c r="AQ66" s="11" t="s">
        <v>138</v>
      </c>
      <c r="AV66" s="12">
        <f>ROUND(AW66+AX66,2)</f>
        <v>0</v>
      </c>
      <c r="AW66" s="12">
        <f>ROUND(G66*AO66,2)</f>
        <v>0</v>
      </c>
      <c r="AX66" s="12">
        <f>ROUND(G66*AP66,2)</f>
        <v>0</v>
      </c>
      <c r="AY66" s="11" t="s">
        <v>217</v>
      </c>
      <c r="AZ66" s="11" t="s">
        <v>201</v>
      </c>
      <c r="BA66" s="41" t="s">
        <v>128</v>
      </c>
      <c r="BC66" s="12">
        <f>AW66+AX66</f>
        <v>0</v>
      </c>
      <c r="BD66" s="12">
        <f>H66/(100-BE66)*100</f>
        <v>0</v>
      </c>
      <c r="BE66" s="12">
        <v>0</v>
      </c>
      <c r="BF66" s="12">
        <f>66</f>
        <v>66</v>
      </c>
      <c r="BH66" s="12">
        <f>G66*AO66</f>
        <v>0</v>
      </c>
      <c r="BI66" s="12">
        <f>G66*AP66</f>
        <v>0</v>
      </c>
      <c r="BJ66" s="12">
        <f>G66*H66</f>
        <v>0</v>
      </c>
      <c r="BK66" s="12"/>
      <c r="BL66" s="12"/>
      <c r="BW66" s="12">
        <v>21</v>
      </c>
      <c r="BX66" s="57" t="s">
        <v>240</v>
      </c>
    </row>
    <row r="67" spans="1:76" x14ac:dyDescent="0.2">
      <c r="I67" s="72">
        <f>ROUND(I12+I19+I31+I33+I38+I41+I45+I51,2)</f>
        <v>0</v>
      </c>
    </row>
    <row r="68" spans="1:76" x14ac:dyDescent="0.2">
      <c r="A68" s="55" t="s">
        <v>83</v>
      </c>
    </row>
  </sheetData>
  <sheetProtection algorithmName="SHA-512" hashValue="tL5eddmBqb8hU3A/uLXDRTjUx35YVDbZY57jP+EuSfHR8s1ckpMvlWP25LY/KEFSSraUQQu8DQ/NVQt3M/sxVA==" saltValue="ecPsYCGyaDQ8zzEiR+w0tg==" spinCount="100000" sheet="1" objects="1" scenarios="1"/>
  <mergeCells count="60">
    <mergeCell ref="D62:E62"/>
    <mergeCell ref="D65:E65"/>
    <mergeCell ref="D66:E66"/>
    <mergeCell ref="D50:E50"/>
    <mergeCell ref="D51:E51"/>
    <mergeCell ref="D52:E52"/>
    <mergeCell ref="D57:E57"/>
    <mergeCell ref="D60:E60"/>
    <mergeCell ref="D45:E45"/>
    <mergeCell ref="D46:E46"/>
    <mergeCell ref="D47:E47"/>
    <mergeCell ref="D48:E48"/>
    <mergeCell ref="D49:E49"/>
    <mergeCell ref="D39:E39"/>
    <mergeCell ref="D41:E41"/>
    <mergeCell ref="D42:E42"/>
    <mergeCell ref="D43:E43"/>
    <mergeCell ref="D44:E44"/>
    <mergeCell ref="D33:E33"/>
    <mergeCell ref="D34:E34"/>
    <mergeCell ref="D35:E35"/>
    <mergeCell ref="D36:E36"/>
    <mergeCell ref="D38:E38"/>
    <mergeCell ref="D25:E25"/>
    <mergeCell ref="D28:E28"/>
    <mergeCell ref="D29:E29"/>
    <mergeCell ref="D31:E31"/>
    <mergeCell ref="D32:E32"/>
    <mergeCell ref="D16:E16"/>
    <mergeCell ref="D17:E17"/>
    <mergeCell ref="D18:E18"/>
    <mergeCell ref="D19:E19"/>
    <mergeCell ref="D20:E20"/>
    <mergeCell ref="D11:E11"/>
    <mergeCell ref="D12:E12"/>
    <mergeCell ref="D13:E13"/>
    <mergeCell ref="D14:E14"/>
    <mergeCell ref="D15:E15"/>
    <mergeCell ref="D10:E10"/>
    <mergeCell ref="D8:E9"/>
    <mergeCell ref="H2:H3"/>
    <mergeCell ref="H4:H5"/>
    <mergeCell ref="H6:H7"/>
    <mergeCell ref="H8:H9"/>
    <mergeCell ref="I2:I3"/>
    <mergeCell ref="I4:I5"/>
    <mergeCell ref="I6:I7"/>
    <mergeCell ref="I8:I9"/>
    <mergeCell ref="D2:E3"/>
    <mergeCell ref="D4:E5"/>
    <mergeCell ref="D6:E7"/>
    <mergeCell ref="A1:G1"/>
    <mergeCell ref="A2:C3"/>
    <mergeCell ref="A4:C5"/>
    <mergeCell ref="A6:C7"/>
    <mergeCell ref="A8:C9"/>
    <mergeCell ref="F2:G3"/>
    <mergeCell ref="F4:G5"/>
    <mergeCell ref="F6:G7"/>
    <mergeCell ref="F8:G9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Markéta Vodáková</cp:lastModifiedBy>
  <dcterms:created xsi:type="dcterms:W3CDTF">2021-06-10T20:06:38Z</dcterms:created>
  <dcterms:modified xsi:type="dcterms:W3CDTF">2025-03-27T07:41:17Z</dcterms:modified>
</cp:coreProperties>
</file>